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\OneDrive\Bureau\"/>
    </mc:Choice>
  </mc:AlternateContent>
  <xr:revisionPtr revIDLastSave="0" documentId="8_{06DCF8CA-F478-45E9-9A5B-D2736CDDE4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lan (2)" sheetId="1" r:id="rId1"/>
  </sheets>
  <externalReferences>
    <externalReference r:id="rId2"/>
  </externalReferences>
  <definedNames>
    <definedName name="analitique">OFFSET(p_analitique,0,0,COUNTA(l_analitique),1)</definedName>
    <definedName name="date">[1]comite!$I$3</definedName>
    <definedName name="f_plan">OFFSET(p_plan,0,0,COUNTA(l_plan),1)</definedName>
    <definedName name="l_analitique">[1]saisie!$T:$T</definedName>
    <definedName name="l_plan">[1]saisie!$W:$W</definedName>
    <definedName name="p_analitique">[1]saisie!$T$3</definedName>
    <definedName name="p_plan">[1]saisie!$W$2</definedName>
    <definedName name="_xlnm.Print_Area" localSheetId="0">'bilan (2)'!$A$3:$G$124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3" i="1" l="1"/>
  <c r="D62" i="1"/>
  <c r="A93" i="1"/>
  <c r="A38" i="1"/>
  <c r="A7" i="1"/>
  <c r="A3" i="1"/>
  <c r="A35" i="1" l="1"/>
  <c r="E9" i="1"/>
  <c r="E18" i="1" s="1"/>
  <c r="E10" i="1"/>
  <c r="F10" i="1" s="1"/>
  <c r="E11" i="1"/>
  <c r="F11" i="1" s="1"/>
  <c r="E12" i="1"/>
  <c r="F12" i="1" s="1"/>
  <c r="E13" i="1"/>
  <c r="F13" i="1" s="1"/>
  <c r="D15" i="1"/>
  <c r="F14" i="1"/>
  <c r="C18" i="1"/>
  <c r="D18" i="1"/>
  <c r="F18" i="1"/>
  <c r="E19" i="1"/>
  <c r="F19" i="1" s="1"/>
  <c r="E20" i="1"/>
  <c r="F20" i="1" s="1"/>
  <c r="E21" i="1"/>
  <c r="F21" i="1" s="1"/>
  <c r="G22" i="1"/>
  <c r="G23" i="1"/>
  <c r="D26" i="1"/>
  <c r="G24" i="1"/>
  <c r="G25" i="1"/>
  <c r="C26" i="1"/>
  <c r="C27" i="1" s="1"/>
  <c r="C29" i="1"/>
  <c r="D29" i="1"/>
  <c r="F29" i="1"/>
  <c r="G30" i="1"/>
  <c r="G31" i="1"/>
  <c r="C32" i="1"/>
  <c r="D32" i="1"/>
  <c r="E32" i="1"/>
  <c r="G32" i="1" s="1"/>
  <c r="A36" i="1"/>
  <c r="C40" i="1"/>
  <c r="D40" i="1"/>
  <c r="F40" i="1"/>
  <c r="E41" i="1"/>
  <c r="F41" i="1" s="1"/>
  <c r="E42" i="1"/>
  <c r="F42" i="1" s="1"/>
  <c r="E43" i="1"/>
  <c r="F43" i="1" s="1"/>
  <c r="E46" i="1"/>
  <c r="F46" i="1" s="1"/>
  <c r="F47" i="1"/>
  <c r="G47" i="1"/>
  <c r="E48" i="1"/>
  <c r="F48" i="1" s="1"/>
  <c r="F49" i="1"/>
  <c r="G49" i="1"/>
  <c r="E50" i="1"/>
  <c r="F50" i="1" s="1"/>
  <c r="G50" i="1"/>
  <c r="F51" i="1"/>
  <c r="G51" i="1"/>
  <c r="C52" i="1"/>
  <c r="D52" i="1"/>
  <c r="C55" i="1"/>
  <c r="D55" i="1"/>
  <c r="F55" i="1"/>
  <c r="G55" i="1"/>
  <c r="G65" i="1" s="1"/>
  <c r="E56" i="1"/>
  <c r="F56" i="1" s="1"/>
  <c r="E57" i="1"/>
  <c r="F57" i="1" s="1"/>
  <c r="D58" i="1"/>
  <c r="F58" i="1"/>
  <c r="G58" i="1"/>
  <c r="D59" i="1"/>
  <c r="F59" i="1"/>
  <c r="G59" i="1"/>
  <c r="F60" i="1"/>
  <c r="G60" i="1"/>
  <c r="F61" i="1"/>
  <c r="G61" i="1"/>
  <c r="C62" i="1"/>
  <c r="C65" i="1"/>
  <c r="D65" i="1"/>
  <c r="F65" i="1"/>
  <c r="D66" i="1"/>
  <c r="D68" i="1" s="1"/>
  <c r="G66" i="1"/>
  <c r="G67" i="1"/>
  <c r="C68" i="1"/>
  <c r="E68" i="1"/>
  <c r="G68" i="1" s="1"/>
  <c r="C71" i="1"/>
  <c r="D71" i="1"/>
  <c r="F71" i="1"/>
  <c r="E72" i="1"/>
  <c r="F72" i="1" s="1"/>
  <c r="F73" i="1"/>
  <c r="G73" i="1"/>
  <c r="E74" i="1"/>
  <c r="F74" i="1" s="1"/>
  <c r="E75" i="1"/>
  <c r="F75" i="1" s="1"/>
  <c r="E76" i="1"/>
  <c r="F76" i="1" s="1"/>
  <c r="E77" i="1"/>
  <c r="F77" i="1" s="1"/>
  <c r="C78" i="1"/>
  <c r="D78" i="1"/>
  <c r="C81" i="1"/>
  <c r="D81" i="1"/>
  <c r="E81" i="1"/>
  <c r="F81" i="1"/>
  <c r="F82" i="1"/>
  <c r="G82" i="1"/>
  <c r="F83" i="1"/>
  <c r="G83" i="1"/>
  <c r="D84" i="1"/>
  <c r="E84" i="1"/>
  <c r="F84" i="1" s="1"/>
  <c r="G84" i="1"/>
  <c r="F86" i="1"/>
  <c r="A91" i="1"/>
  <c r="D95" i="1"/>
  <c r="E95" i="1"/>
  <c r="F95" i="1"/>
  <c r="D101" i="1"/>
  <c r="C107" i="1"/>
  <c r="D107" i="1"/>
  <c r="E107" i="1"/>
  <c r="E112" i="1" s="1"/>
  <c r="C108" i="1"/>
  <c r="D108" i="1"/>
  <c r="B121" i="1"/>
  <c r="B124" i="1" s="1"/>
  <c r="D85" i="1" l="1"/>
  <c r="C85" i="1"/>
  <c r="E40" i="1"/>
  <c r="C33" i="1"/>
  <c r="C87" i="1" s="1"/>
  <c r="D33" i="1"/>
  <c r="E97" i="1" s="1"/>
  <c r="D112" i="1"/>
  <c r="A90" i="1"/>
  <c r="E71" i="1"/>
  <c r="E29" i="1"/>
  <c r="E55" i="1"/>
  <c r="E65" i="1"/>
  <c r="F108" i="1"/>
  <c r="E15" i="1"/>
  <c r="F15" i="1" s="1"/>
  <c r="E62" i="1"/>
  <c r="F62" i="1" s="1"/>
  <c r="E26" i="1"/>
  <c r="F26" i="1" s="1"/>
  <c r="E99" i="1"/>
  <c r="D27" i="1"/>
  <c r="D119" i="1"/>
  <c r="D124" i="1" s="1"/>
  <c r="F107" i="1"/>
  <c r="G71" i="1"/>
  <c r="G81" i="1" s="1"/>
  <c r="E52" i="1"/>
  <c r="E78" i="1"/>
  <c r="C112" i="1"/>
  <c r="E27" i="1" l="1"/>
  <c r="F112" i="1"/>
  <c r="E33" i="1"/>
  <c r="G20" i="1" s="1"/>
  <c r="G11" i="1"/>
  <c r="F52" i="1"/>
  <c r="F27" i="1"/>
  <c r="G27" i="1"/>
  <c r="G15" i="1"/>
  <c r="G74" i="1"/>
  <c r="E85" i="1"/>
  <c r="F99" i="1" s="1"/>
  <c r="F78" i="1"/>
  <c r="G78" i="1"/>
  <c r="G10" i="1" l="1"/>
  <c r="G52" i="1"/>
  <c r="G48" i="1"/>
  <c r="G41" i="1"/>
  <c r="G57" i="1"/>
  <c r="G26" i="1"/>
  <c r="G33" i="1"/>
  <c r="G42" i="1"/>
  <c r="G76" i="1"/>
  <c r="G21" i="1"/>
  <c r="G72" i="1"/>
  <c r="G12" i="1"/>
  <c r="G19" i="1"/>
  <c r="F97" i="1"/>
  <c r="G77" i="1"/>
  <c r="G46" i="1"/>
  <c r="G56" i="1"/>
  <c r="G75" i="1"/>
  <c r="G13" i="1"/>
  <c r="G62" i="1"/>
  <c r="G43" i="1"/>
  <c r="F85" i="1"/>
  <c r="G85" i="1"/>
  <c r="G99" i="1"/>
  <c r="G97" i="1"/>
  <c r="E87" i="1"/>
  <c r="F119" i="1" s="1"/>
  <c r="F124" i="1" s="1"/>
  <c r="G101" i="1" l="1"/>
  <c r="F101" i="1"/>
</calcChain>
</file>

<file path=xl/sharedStrings.xml><?xml version="1.0" encoding="utf-8"?>
<sst xmlns="http://schemas.openxmlformats.org/spreadsheetml/2006/main" count="85" uniqueCount="75">
  <si>
    <t>Sous total</t>
  </si>
  <si>
    <t>Sg</t>
  </si>
  <si>
    <t>Produits à recevoir</t>
  </si>
  <si>
    <t>Livret CA</t>
  </si>
  <si>
    <t>Charges à Payer</t>
  </si>
  <si>
    <t>Credit agricole</t>
  </si>
  <si>
    <t>Nouvelles réserves</t>
  </si>
  <si>
    <t>Rapprochement</t>
  </si>
  <si>
    <t>Résultat</t>
  </si>
  <si>
    <t>banque</t>
  </si>
  <si>
    <t>Amortissements</t>
  </si>
  <si>
    <t>Reserves</t>
  </si>
  <si>
    <t>investissements</t>
  </si>
  <si>
    <t>Passif</t>
  </si>
  <si>
    <t>Montant</t>
  </si>
  <si>
    <t>Actif</t>
  </si>
  <si>
    <t>Solde</t>
  </si>
  <si>
    <t>Compte Société Générale</t>
  </si>
  <si>
    <t>Livret Crédit Agricole</t>
  </si>
  <si>
    <t xml:space="preserve">Compte Crédit Agricole </t>
  </si>
  <si>
    <t>Comptable</t>
  </si>
  <si>
    <t>Dépenses</t>
  </si>
  <si>
    <t>Recettes</t>
  </si>
  <si>
    <t>Vérification</t>
  </si>
  <si>
    <t>fin exercice</t>
  </si>
  <si>
    <t>Début exercice</t>
  </si>
  <si>
    <t>résultat</t>
  </si>
  <si>
    <t>Produits</t>
  </si>
  <si>
    <t>Libellé</t>
  </si>
  <si>
    <t>resultat final</t>
  </si>
  <si>
    <t>Total général emplois</t>
  </si>
  <si>
    <t>Investissements</t>
  </si>
  <si>
    <t>Investissement</t>
  </si>
  <si>
    <t>frais financier</t>
  </si>
  <si>
    <t xml:space="preserve">cotisations </t>
  </si>
  <si>
    <t>assurance</t>
  </si>
  <si>
    <t>frais de déplacement et de réception</t>
  </si>
  <si>
    <t>location</t>
  </si>
  <si>
    <t>frais administratif</t>
  </si>
  <si>
    <t>Fonctionnement</t>
  </si>
  <si>
    <t>Subventions Accordées</t>
  </si>
  <si>
    <t>Subventions accordées au club</t>
  </si>
  <si>
    <t>Critérium du Maine et Loire</t>
  </si>
  <si>
    <t>Pro F'Am</t>
  </si>
  <si>
    <t>Championnat du Maine et Loire</t>
  </si>
  <si>
    <t>Compétitions Spécifiques</t>
  </si>
  <si>
    <t xml:space="preserve">tous au golf et incitation à la pratique </t>
  </si>
  <si>
    <t>Golf Urbain</t>
  </si>
  <si>
    <t>Golf entreprise</t>
  </si>
  <si>
    <t>Inter clubs d'hiver</t>
  </si>
  <si>
    <t>Milieu scolaire</t>
  </si>
  <si>
    <t>Elite Jeunes</t>
  </si>
  <si>
    <t>Ecole de golf</t>
  </si>
  <si>
    <t>Stages Jeunes</t>
  </si>
  <si>
    <t>Trophée Junior Volvo</t>
  </si>
  <si>
    <t>Ch inter clubs  U12</t>
  </si>
  <si>
    <t>%  sur total recettes</t>
  </si>
  <si>
    <t>Actions</t>
  </si>
  <si>
    <t>Total Général Ressources</t>
  </si>
  <si>
    <t>Subvention CG 49</t>
  </si>
  <si>
    <t>Subvention d'équipement</t>
  </si>
  <si>
    <t>Sous total cumulé</t>
  </si>
  <si>
    <t>Intérêts livret</t>
  </si>
  <si>
    <t>Subvention CNDS</t>
  </si>
  <si>
    <t>Subvention Ligue</t>
  </si>
  <si>
    <t>Subventions</t>
  </si>
  <si>
    <t>Sous Total</t>
  </si>
  <si>
    <t>Sponsors divers</t>
  </si>
  <si>
    <t>Droits de jeu</t>
  </si>
  <si>
    <t>Cotisations des Clubs</t>
  </si>
  <si>
    <t>Produits du Comité</t>
  </si>
  <si>
    <t># 2019-2018</t>
  </si>
  <si>
    <t>Prévisionnel 2019</t>
  </si>
  <si>
    <t>réalisé 2018</t>
  </si>
  <si>
    <t>Comité départemental  de Golf du Maine et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</si>
</sst>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\ _€"/>
    <numFmt numFmtId="166" formatCode="#,##0.00_ ;[Blue]\-#,##0.00\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ck">
        <color theme="0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0"/>
      </left>
      <right style="thick">
        <color theme="0"/>
      </right>
      <top/>
      <bottom style="thick">
        <color theme="6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 style="thick">
        <color theme="0"/>
      </left>
      <right style="thick">
        <color theme="6" tint="-0.499984740745262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6" tint="-0.499984740745262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6" tint="-0.499984740745262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/>
      <top style="medium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medium">
        <color theme="0"/>
      </top>
      <bottom style="thick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thick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164" fontId="0" fillId="0" borderId="0" xfId="0" applyNumberFormat="1"/>
    <xf numFmtId="40" fontId="3" fillId="3" borderId="1" xfId="0" applyNumberFormat="1" applyFont="1" applyFill="1" applyBorder="1"/>
    <xf numFmtId="40" fontId="3" fillId="3" borderId="2" xfId="0" applyNumberFormat="1" applyFont="1" applyFill="1" applyBorder="1"/>
    <xf numFmtId="40" fontId="3" fillId="3" borderId="3" xfId="0" applyNumberFormat="1" applyFont="1" applyFill="1" applyBorder="1"/>
    <xf numFmtId="40" fontId="3" fillId="3" borderId="4" xfId="0" applyNumberFormat="1" applyFont="1" applyFill="1" applyBorder="1"/>
    <xf numFmtId="0" fontId="0" fillId="3" borderId="5" xfId="0" applyFill="1" applyBorder="1"/>
    <xf numFmtId="40" fontId="3" fillId="4" borderId="6" xfId="0" applyNumberFormat="1" applyFont="1" applyFill="1" applyBorder="1"/>
    <xf numFmtId="40" fontId="3" fillId="4" borderId="7" xfId="0" applyNumberFormat="1" applyFont="1" applyFill="1" applyBorder="1"/>
    <xf numFmtId="2" fontId="4" fillId="4" borderId="7" xfId="0" applyNumberFormat="1" applyFont="1" applyFill="1" applyBorder="1"/>
    <xf numFmtId="0" fontId="4" fillId="4" borderId="8" xfId="0" applyFont="1" applyFill="1" applyBorder="1"/>
    <xf numFmtId="40" fontId="3" fillId="2" borderId="9" xfId="0" applyNumberFormat="1" applyFont="1" applyFill="1" applyBorder="1"/>
    <xf numFmtId="40" fontId="3" fillId="2" borderId="10" xfId="0" applyNumberFormat="1" applyFont="1" applyFill="1" applyBorder="1"/>
    <xf numFmtId="2" fontId="4" fillId="2" borderId="10" xfId="0" applyNumberFormat="1" applyFont="1" applyFill="1" applyBorder="1"/>
    <xf numFmtId="0" fontId="4" fillId="2" borderId="11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4" fillId="4" borderId="7" xfId="0" applyFont="1" applyFill="1" applyBorder="1"/>
    <xf numFmtId="40" fontId="2" fillId="5" borderId="12" xfId="0" applyNumberFormat="1" applyFont="1" applyFill="1" applyBorder="1" applyAlignment="1">
      <alignment horizontal="center" vertical="center"/>
    </xf>
    <xf numFmtId="40" fontId="2" fillId="5" borderId="1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/>
    </xf>
    <xf numFmtId="40" fontId="7" fillId="2" borderId="10" xfId="0" applyNumberFormat="1" applyFont="1" applyFill="1" applyBorder="1"/>
    <xf numFmtId="40" fontId="8" fillId="4" borderId="7" xfId="0" applyNumberFormat="1" applyFont="1" applyFill="1" applyBorder="1"/>
    <xf numFmtId="40" fontId="3" fillId="2" borderId="9" xfId="0" applyNumberFormat="1" applyFont="1" applyFill="1" applyBorder="1" applyAlignment="1">
      <alignment horizontal="center"/>
    </xf>
    <xf numFmtId="40" fontId="3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40" fontId="9" fillId="3" borderId="26" xfId="0" applyNumberFormat="1" applyFont="1" applyFill="1" applyBorder="1"/>
    <xf numFmtId="40" fontId="9" fillId="3" borderId="4" xfId="0" applyNumberFormat="1" applyFont="1" applyFill="1" applyBorder="1"/>
    <xf numFmtId="40" fontId="9" fillId="3" borderId="2" xfId="0" applyNumberFormat="1" applyFont="1" applyFill="1" applyBorder="1"/>
    <xf numFmtId="0" fontId="9" fillId="3" borderId="27" xfId="0" applyFont="1" applyFill="1" applyBorder="1"/>
    <xf numFmtId="0" fontId="9" fillId="3" borderId="28" xfId="0" applyFont="1" applyFill="1" applyBorder="1"/>
    <xf numFmtId="40" fontId="9" fillId="2" borderId="16" xfId="0" applyNumberFormat="1" applyFont="1" applyFill="1" applyBorder="1"/>
    <xf numFmtId="40" fontId="9" fillId="2" borderId="29" xfId="0" applyNumberFormat="1" applyFont="1" applyFill="1" applyBorder="1"/>
    <xf numFmtId="40" fontId="9" fillId="2" borderId="10" xfId="0" applyNumberFormat="1" applyFont="1" applyFill="1" applyBorder="1"/>
    <xf numFmtId="0" fontId="9" fillId="2" borderId="30" xfId="0" applyFont="1" applyFill="1" applyBorder="1" applyAlignment="1">
      <alignment horizontal="left"/>
    </xf>
    <xf numFmtId="40" fontId="10" fillId="4" borderId="16" xfId="0" applyNumberFormat="1" applyFont="1" applyFill="1" applyBorder="1"/>
    <xf numFmtId="0" fontId="9" fillId="4" borderId="32" xfId="0" applyFont="1" applyFill="1" applyBorder="1" applyAlignment="1">
      <alignment horizontal="center"/>
    </xf>
    <xf numFmtId="40" fontId="10" fillId="2" borderId="16" xfId="0" applyNumberFormat="1" applyFont="1" applyFill="1" applyBorder="1"/>
    <xf numFmtId="40" fontId="10" fillId="2" borderId="29" xfId="0" applyNumberFormat="1" applyFont="1" applyFill="1" applyBorder="1"/>
    <xf numFmtId="0" fontId="9" fillId="2" borderId="30" xfId="0" applyFont="1" applyFill="1" applyBorder="1" applyAlignment="1">
      <alignment horizontal="center"/>
    </xf>
    <xf numFmtId="165" fontId="2" fillId="5" borderId="16" xfId="0" applyNumberFormat="1" applyFont="1" applyFill="1" applyBorder="1" applyAlignment="1">
      <alignment horizontal="center" vertical="center"/>
    </xf>
    <xf numFmtId="165" fontId="2" fillId="5" borderId="3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11" fillId="4" borderId="0" xfId="0" applyFont="1" applyFill="1"/>
    <xf numFmtId="40" fontId="12" fillId="6" borderId="13" xfId="0" applyNumberFormat="1" applyFont="1" applyFill="1" applyBorder="1" applyAlignment="1">
      <alignment horizontal="center" vertical="center"/>
    </xf>
    <xf numFmtId="40" fontId="13" fillId="6" borderId="13" xfId="0" applyNumberFormat="1" applyFont="1" applyFill="1" applyBorder="1" applyAlignment="1">
      <alignment horizontal="center" vertical="center"/>
    </xf>
    <xf numFmtId="165" fontId="12" fillId="6" borderId="14" xfId="0" applyNumberFormat="1" applyFont="1" applyFill="1" applyBorder="1" applyAlignment="1">
      <alignment horizontal="right" vertical="center"/>
    </xf>
    <xf numFmtId="40" fontId="0" fillId="0" borderId="0" xfId="0" applyNumberFormat="1"/>
    <xf numFmtId="40" fontId="14" fillId="0" borderId="0" xfId="0" applyNumberFormat="1" applyFont="1"/>
    <xf numFmtId="165" fontId="0" fillId="0" borderId="0" xfId="0" applyNumberFormat="1" applyAlignment="1">
      <alignment horizontal="right"/>
    </xf>
    <xf numFmtId="9" fontId="2" fillId="5" borderId="13" xfId="0" applyNumberFormat="1" applyFont="1" applyFill="1" applyBorder="1" applyAlignment="1">
      <alignment horizontal="center" vertical="center"/>
    </xf>
    <xf numFmtId="166" fontId="15" fillId="5" borderId="13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right" vertical="center"/>
    </xf>
    <xf numFmtId="40" fontId="3" fillId="3" borderId="35" xfId="0" applyNumberFormat="1" applyFont="1" applyFill="1" applyBorder="1"/>
    <xf numFmtId="9" fontId="3" fillId="3" borderId="35" xfId="0" applyNumberFormat="1" applyFont="1" applyFill="1" applyBorder="1" applyAlignment="1">
      <alignment horizontal="center"/>
    </xf>
    <xf numFmtId="164" fontId="15" fillId="3" borderId="35" xfId="0" applyNumberFormat="1" applyFont="1" applyFill="1" applyBorder="1"/>
    <xf numFmtId="2" fontId="0" fillId="3" borderId="36" xfId="0" applyNumberForma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164" fontId="15" fillId="4" borderId="7" xfId="0" applyNumberFormat="1" applyFont="1" applyFill="1" applyBorder="1"/>
    <xf numFmtId="0" fontId="4" fillId="4" borderId="19" xfId="0" applyFont="1" applyFill="1" applyBorder="1" applyAlignment="1">
      <alignment horizontal="left"/>
    </xf>
    <xf numFmtId="9" fontId="3" fillId="2" borderId="10" xfId="0" applyNumberFormat="1" applyFont="1" applyFill="1" applyBorder="1" applyAlignment="1">
      <alignment horizontal="center"/>
    </xf>
    <xf numFmtId="164" fontId="15" fillId="2" borderId="10" xfId="0" applyNumberFormat="1" applyFont="1" applyFill="1" applyBorder="1"/>
    <xf numFmtId="2" fontId="4" fillId="2" borderId="21" xfId="0" applyNumberFormat="1" applyFont="1" applyFill="1" applyBorder="1" applyAlignment="1">
      <alignment horizontal="right"/>
    </xf>
    <xf numFmtId="9" fontId="16" fillId="5" borderId="13" xfId="0" applyNumberFormat="1" applyFont="1" applyFill="1" applyBorder="1" applyAlignment="1">
      <alignment horizontal="center" vertical="center"/>
    </xf>
    <xf numFmtId="164" fontId="17" fillId="5" borderId="1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4" fontId="15" fillId="0" borderId="0" xfId="0" applyNumberFormat="1" applyFont="1"/>
    <xf numFmtId="166" fontId="15" fillId="3" borderId="35" xfId="0" applyNumberFormat="1" applyFont="1" applyFill="1" applyBorder="1"/>
    <xf numFmtId="165" fontId="18" fillId="3" borderId="35" xfId="0" applyNumberFormat="1" applyFont="1" applyFill="1" applyBorder="1"/>
    <xf numFmtId="0" fontId="0" fillId="3" borderId="36" xfId="0" applyFill="1" applyBorder="1" applyAlignment="1">
      <alignment horizontal="right"/>
    </xf>
    <xf numFmtId="166" fontId="15" fillId="4" borderId="7" xfId="0" applyNumberFormat="1" applyFont="1" applyFill="1" applyBorder="1"/>
    <xf numFmtId="165" fontId="18" fillId="4" borderId="7" xfId="0" applyNumberFormat="1" applyFont="1" applyFill="1" applyBorder="1"/>
    <xf numFmtId="0" fontId="4" fillId="4" borderId="19" xfId="0" applyFont="1" applyFill="1" applyBorder="1" applyAlignment="1">
      <alignment horizontal="right"/>
    </xf>
    <xf numFmtId="166" fontId="15" fillId="2" borderId="10" xfId="0" applyNumberFormat="1" applyFont="1" applyFill="1" applyBorder="1"/>
    <xf numFmtId="165" fontId="18" fillId="2" borderId="10" xfId="0" applyNumberFormat="1" applyFont="1" applyFill="1" applyBorder="1"/>
    <xf numFmtId="2" fontId="4" fillId="4" borderId="19" xfId="0" applyNumberFormat="1" applyFont="1" applyFill="1" applyBorder="1" applyAlignment="1">
      <alignment horizontal="right"/>
    </xf>
    <xf numFmtId="166" fontId="15" fillId="0" borderId="0" xfId="0" applyNumberFormat="1" applyFont="1"/>
    <xf numFmtId="165" fontId="19" fillId="4" borderId="7" xfId="0" applyNumberFormat="1" applyFont="1" applyFill="1" applyBorder="1"/>
    <xf numFmtId="165" fontId="19" fillId="2" borderId="10" xfId="0" applyNumberFormat="1" applyFont="1" applyFill="1" applyBorder="1"/>
    <xf numFmtId="0" fontId="4" fillId="2" borderId="21" xfId="0" applyFont="1" applyFill="1" applyBorder="1" applyAlignment="1">
      <alignment horizontal="right"/>
    </xf>
    <xf numFmtId="1" fontId="2" fillId="5" borderId="14" xfId="0" applyNumberFormat="1" applyFont="1" applyFill="1" applyBorder="1" applyAlignment="1">
      <alignment horizontal="center" vertical="center"/>
    </xf>
    <xf numFmtId="9" fontId="3" fillId="4" borderId="35" xfId="0" applyNumberFormat="1" applyFont="1" applyFill="1" applyBorder="1" applyAlignment="1">
      <alignment horizontal="center"/>
    </xf>
    <xf numFmtId="166" fontId="15" fillId="4" borderId="35" xfId="0" applyNumberFormat="1" applyFont="1" applyFill="1" applyBorder="1"/>
    <xf numFmtId="165" fontId="18" fillId="4" borderId="35" xfId="0" applyNumberFormat="1" applyFont="1" applyFill="1" applyBorder="1"/>
    <xf numFmtId="40" fontId="3" fillId="4" borderId="35" xfId="0" applyNumberFormat="1" applyFont="1" applyFill="1" applyBorder="1"/>
    <xf numFmtId="2" fontId="4" fillId="4" borderId="36" xfId="0" applyNumberFormat="1" applyFont="1" applyFill="1" applyBorder="1" applyAlignment="1">
      <alignment horizontal="right"/>
    </xf>
    <xf numFmtId="0" fontId="4" fillId="4" borderId="36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left"/>
    </xf>
    <xf numFmtId="0" fontId="16" fillId="5" borderId="13" xfId="0" applyFont="1" applyFill="1" applyBorder="1" applyAlignment="1">
      <alignment horizontal="center" vertical="center"/>
    </xf>
    <xf numFmtId="40" fontId="20" fillId="5" borderId="13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/>
    <xf numFmtId="40" fontId="1" fillId="0" borderId="0" xfId="0" applyNumberFormat="1" applyFont="1"/>
    <xf numFmtId="40" fontId="3" fillId="3" borderId="41" xfId="0" applyNumberFormat="1" applyFont="1" applyFill="1" applyBorder="1"/>
    <xf numFmtId="9" fontId="3" fillId="3" borderId="41" xfId="0" applyNumberFormat="1" applyFont="1" applyFill="1" applyBorder="1" applyAlignment="1">
      <alignment horizontal="center"/>
    </xf>
    <xf numFmtId="40" fontId="21" fillId="3" borderId="36" xfId="0" applyNumberFormat="1" applyFont="1" applyFill="1" applyBorder="1"/>
    <xf numFmtId="165" fontId="22" fillId="3" borderId="41" xfId="0" applyNumberFormat="1" applyFont="1" applyFill="1" applyBorder="1"/>
    <xf numFmtId="165" fontId="0" fillId="3" borderId="37" xfId="0" applyNumberFormat="1" applyFill="1" applyBorder="1" applyAlignment="1">
      <alignment horizontal="right"/>
    </xf>
    <xf numFmtId="165" fontId="22" fillId="3" borderId="35" xfId="0" applyNumberFormat="1" applyFont="1" applyFill="1" applyBorder="1"/>
    <xf numFmtId="165" fontId="0" fillId="3" borderId="36" xfId="0" applyNumberFormat="1" applyFill="1" applyBorder="1" applyAlignment="1">
      <alignment horizontal="right"/>
    </xf>
    <xf numFmtId="40" fontId="23" fillId="2" borderId="10" xfId="0" applyNumberFormat="1" applyFont="1" applyFill="1" applyBorder="1"/>
    <xf numFmtId="165" fontId="22" fillId="2" borderId="10" xfId="0" applyNumberFormat="1" applyFont="1" applyFill="1" applyBorder="1"/>
    <xf numFmtId="165" fontId="4" fillId="2" borderId="21" xfId="0" applyNumberFormat="1" applyFont="1" applyFill="1" applyBorder="1" applyAlignment="1">
      <alignment horizontal="right"/>
    </xf>
    <xf numFmtId="40" fontId="23" fillId="4" borderId="7" xfId="0" applyNumberFormat="1" applyFont="1" applyFill="1" applyBorder="1"/>
    <xf numFmtId="165" fontId="22" fillId="4" borderId="7" xfId="0" applyNumberFormat="1" applyFont="1" applyFill="1" applyBorder="1"/>
    <xf numFmtId="165" fontId="4" fillId="4" borderId="19" xfId="0" applyNumberFormat="1" applyFont="1" applyFill="1" applyBorder="1" applyAlignment="1">
      <alignment horizontal="right"/>
    </xf>
    <xf numFmtId="40" fontId="21" fillId="2" borderId="10" xfId="0" applyNumberFormat="1" applyFont="1" applyFill="1" applyBorder="1"/>
    <xf numFmtId="40" fontId="21" fillId="4" borderId="7" xfId="0" applyNumberFormat="1" applyFont="1" applyFill="1" applyBorder="1"/>
    <xf numFmtId="165" fontId="2" fillId="5" borderId="13" xfId="0" applyNumberFormat="1" applyFont="1" applyFill="1" applyBorder="1" applyAlignment="1">
      <alignment horizontal="center" vertical="center"/>
    </xf>
    <xf numFmtId="40" fontId="17" fillId="5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34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165" fontId="0" fillId="0" borderId="0" xfId="0" applyNumberFormat="1"/>
    <xf numFmtId="165" fontId="22" fillId="3" borderId="36" xfId="0" applyNumberFormat="1" applyFont="1" applyFill="1" applyBorder="1"/>
    <xf numFmtId="165" fontId="0" fillId="3" borderId="36" xfId="0" applyNumberFormat="1" applyFill="1" applyBorder="1"/>
    <xf numFmtId="165" fontId="3" fillId="2" borderId="10" xfId="0" applyNumberFormat="1" applyFont="1" applyFill="1" applyBorder="1"/>
    <xf numFmtId="165" fontId="4" fillId="2" borderId="10" xfId="0" applyNumberFormat="1" applyFont="1" applyFill="1" applyBorder="1"/>
    <xf numFmtId="0" fontId="4" fillId="2" borderId="10" xfId="0" applyFont="1" applyFill="1" applyBorder="1" applyAlignment="1">
      <alignment horizontal="left"/>
    </xf>
    <xf numFmtId="165" fontId="3" fillId="4" borderId="7" xfId="0" applyNumberFormat="1" applyFont="1" applyFill="1" applyBorder="1"/>
    <xf numFmtId="165" fontId="4" fillId="4" borderId="19" xfId="0" applyNumberFormat="1" applyFont="1" applyFill="1" applyBorder="1"/>
    <xf numFmtId="165" fontId="4" fillId="2" borderId="21" xfId="0" applyNumberFormat="1" applyFont="1" applyFill="1" applyBorder="1"/>
    <xf numFmtId="165" fontId="16" fillId="5" borderId="13" xfId="0" applyNumberFormat="1" applyFont="1" applyFill="1" applyBorder="1" applyAlignment="1">
      <alignment horizontal="center"/>
    </xf>
    <xf numFmtId="165" fontId="20" fillId="5" borderId="13" xfId="0" applyNumberFormat="1" applyFon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2" fillId="5" borderId="33" xfId="0" applyFont="1" applyFill="1" applyBorder="1"/>
    <xf numFmtId="40" fontId="24" fillId="4" borderId="31" xfId="0" applyNumberFormat="1" applyFont="1" applyFill="1" applyBorder="1"/>
    <xf numFmtId="40" fontId="25" fillId="4" borderId="7" xfId="0" applyNumberFormat="1" applyFont="1" applyFill="1" applyBorder="1"/>
    <xf numFmtId="40" fontId="26" fillId="4" borderId="7" xfId="0" applyNumberFormat="1" applyFont="1" applyFill="1" applyBorder="1"/>
    <xf numFmtId="40" fontId="25" fillId="2" borderId="10" xfId="0" applyNumberFormat="1" applyFont="1" applyFill="1" applyBorder="1"/>
    <xf numFmtId="40" fontId="24" fillId="2" borderId="29" xfId="0" applyNumberFormat="1" applyFont="1" applyFill="1" applyBorder="1"/>
    <xf numFmtId="0" fontId="9" fillId="2" borderId="22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2" fontId="4" fillId="4" borderId="31" xfId="0" applyNumberFormat="1" applyFont="1" applyFill="1" applyBorder="1" applyAlignment="1">
      <alignment horizontal="left"/>
    </xf>
    <xf numFmtId="165" fontId="18" fillId="2" borderId="41" xfId="0" applyNumberFormat="1" applyFont="1" applyFill="1" applyBorder="1" applyAlignment="1">
      <alignment horizontal="right" vertical="center"/>
    </xf>
    <xf numFmtId="165" fontId="18" fillId="2" borderId="35" xfId="0" applyNumberFormat="1" applyFont="1" applyFill="1" applyBorder="1" applyAlignment="1">
      <alignment horizontal="right" vertical="center"/>
    </xf>
    <xf numFmtId="165" fontId="18" fillId="2" borderId="40" xfId="0" applyNumberFormat="1" applyFont="1" applyFill="1" applyBorder="1" applyAlignment="1">
      <alignment horizontal="right" vertical="center"/>
    </xf>
    <xf numFmtId="166" fontId="15" fillId="2" borderId="41" xfId="0" applyNumberFormat="1" applyFont="1" applyFill="1" applyBorder="1" applyAlignment="1">
      <alignment horizontal="right" vertical="center"/>
    </xf>
    <xf numFmtId="166" fontId="15" fillId="2" borderId="35" xfId="0" applyNumberFormat="1" applyFont="1" applyFill="1" applyBorder="1" applyAlignment="1">
      <alignment horizontal="right" vertical="center"/>
    </xf>
    <xf numFmtId="166" fontId="15" fillId="2" borderId="40" xfId="0" applyNumberFormat="1" applyFont="1" applyFill="1" applyBorder="1" applyAlignment="1">
      <alignment horizontal="right" vertical="center"/>
    </xf>
    <xf numFmtId="9" fontId="3" fillId="2" borderId="41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9" fontId="3" fillId="2" borderId="40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right" vertical="center"/>
    </xf>
    <xf numFmtId="2" fontId="4" fillId="2" borderId="35" xfId="0" applyNumberFormat="1" applyFont="1" applyFill="1" applyBorder="1" applyAlignment="1">
      <alignment horizontal="right" vertical="center"/>
    </xf>
    <xf numFmtId="2" fontId="4" fillId="2" borderId="40" xfId="0" applyNumberFormat="1" applyFont="1" applyFill="1" applyBorder="1" applyAlignment="1">
      <alignment horizontal="right" vertical="center"/>
    </xf>
    <xf numFmtId="40" fontId="3" fillId="2" borderId="41" xfId="0" applyNumberFormat="1" applyFont="1" applyFill="1" applyBorder="1" applyAlignment="1">
      <alignment horizontal="right" vertical="center"/>
    </xf>
    <xf numFmtId="40" fontId="3" fillId="2" borderId="35" xfId="0" applyNumberFormat="1" applyFont="1" applyFill="1" applyBorder="1" applyAlignment="1">
      <alignment horizontal="right" vertical="center"/>
    </xf>
    <xf numFmtId="40" fontId="3" fillId="2" borderId="40" xfId="0" applyNumberFormat="1" applyFont="1" applyFill="1" applyBorder="1" applyAlignment="1">
      <alignment horizontal="right" vertical="center"/>
    </xf>
    <xf numFmtId="2" fontId="4" fillId="2" borderId="29" xfId="0" applyNumberFormat="1" applyFont="1" applyFill="1" applyBorder="1"/>
    <xf numFmtId="0" fontId="4" fillId="2" borderId="21" xfId="0" applyFont="1" applyFill="1" applyBorder="1"/>
    <xf numFmtId="2" fontId="4" fillId="2" borderId="29" xfId="0" applyNumberFormat="1" applyFont="1" applyFill="1" applyBorder="1" applyAlignment="1">
      <alignment horizontal="left"/>
    </xf>
    <xf numFmtId="0" fontId="0" fillId="3" borderId="43" xfId="0" applyFill="1" applyBorder="1" applyAlignment="1">
      <alignment horizontal="center"/>
    </xf>
    <xf numFmtId="0" fontId="0" fillId="3" borderId="4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ite"/>
      <sheetName val="10"/>
      <sheetName val="21"/>
      <sheetName val="22"/>
      <sheetName val="23"/>
      <sheetName val="24"/>
      <sheetName val="25"/>
      <sheetName val="31"/>
      <sheetName val="41"/>
      <sheetName val="32"/>
      <sheetName val="33"/>
      <sheetName val="51"/>
      <sheetName val="52"/>
      <sheetName val="53"/>
      <sheetName val="71"/>
      <sheetName val="80"/>
      <sheetName val="90"/>
      <sheetName val="99"/>
      <sheetName val="analytique"/>
      <sheetName val="resultat"/>
      <sheetName val="bilan"/>
      <sheetName val="resultat détaillé"/>
      <sheetName val="saisie"/>
      <sheetName val="Feuil6"/>
      <sheetName val="Analitique"/>
      <sheetName val="compta"/>
      <sheetName val="Feuil2"/>
      <sheetName val="Feuil1"/>
    </sheetNames>
    <sheetDataSet>
      <sheetData sheetId="0">
        <row r="3">
          <cell r="I3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J3">
            <v>2074</v>
          </cell>
        </row>
        <row r="4">
          <cell r="C4">
            <v>-5</v>
          </cell>
          <cell r="J4">
            <v>7185</v>
          </cell>
        </row>
        <row r="5">
          <cell r="J5">
            <v>4250</v>
          </cell>
        </row>
        <row r="6">
          <cell r="J6">
            <v>3525</v>
          </cell>
        </row>
        <row r="7">
          <cell r="J7">
            <v>3000</v>
          </cell>
        </row>
        <row r="8">
          <cell r="C8">
            <v>-340.9</v>
          </cell>
          <cell r="J8">
            <v>1000</v>
          </cell>
        </row>
        <row r="9">
          <cell r="C9">
            <v>-3665</v>
          </cell>
        </row>
        <row r="10">
          <cell r="J10">
            <v>40.04</v>
          </cell>
        </row>
        <row r="11">
          <cell r="C11">
            <v>-226.7</v>
          </cell>
        </row>
        <row r="13">
          <cell r="C13">
            <v>-4118.2</v>
          </cell>
        </row>
        <row r="14">
          <cell r="C14">
            <v>0</v>
          </cell>
        </row>
        <row r="16">
          <cell r="C16">
            <v>-1110</v>
          </cell>
        </row>
        <row r="17">
          <cell r="C17">
            <v>0</v>
          </cell>
        </row>
        <row r="18">
          <cell r="C18">
            <v>-7951.96</v>
          </cell>
        </row>
      </sheetData>
      <sheetData sheetId="20"/>
      <sheetData sheetId="21"/>
      <sheetData sheetId="22">
        <row r="1">
          <cell r="E1">
            <v>16983.23</v>
          </cell>
          <cell r="T1" t="str">
            <v>Analitique</v>
          </cell>
          <cell r="W1" t="str">
            <v>Plan</v>
          </cell>
        </row>
        <row r="2">
          <cell r="G2">
            <v>-19872.13</v>
          </cell>
          <cell r="H2">
            <v>21074.04</v>
          </cell>
          <cell r="T2" t="str">
            <v>Libellé</v>
          </cell>
          <cell r="W2" t="str">
            <v>Assurance</v>
          </cell>
        </row>
        <row r="3">
          <cell r="E3">
            <v>18497.57</v>
          </cell>
          <cell r="J3">
            <v>5338.74</v>
          </cell>
          <cell r="T3" t="str">
            <v>Animation Ecole de golf</v>
          </cell>
          <cell r="W3" t="str">
            <v>Cotisation CD 49</v>
          </cell>
        </row>
        <row r="4">
          <cell r="T4" t="str">
            <v>Ch des Jeunes - 13 ans</v>
          </cell>
          <cell r="W4" t="str">
            <v>Cotisations des Clubs</v>
          </cell>
        </row>
        <row r="5">
          <cell r="T5" t="str">
            <v>Championnat du Maine et Loire</v>
          </cell>
          <cell r="W5" t="str">
            <v>déplacements</v>
          </cell>
        </row>
        <row r="6">
          <cell r="T6" t="str">
            <v>Comité départemental  de Golf du Maine et Loire</v>
          </cell>
          <cell r="W6" t="str">
            <v>Droits de jeu</v>
          </cell>
        </row>
        <row r="7">
          <cell r="T7" t="str">
            <v>Critérium du Maine et Loire</v>
          </cell>
          <cell r="W7" t="str">
            <v>Encad des jeunes</v>
          </cell>
        </row>
        <row r="8">
          <cell r="T8" t="str">
            <v>Ecole de golf</v>
          </cell>
          <cell r="W8" t="str">
            <v>Four &amp; frais administratifs</v>
          </cell>
        </row>
        <row r="9">
          <cell r="T9" t="str">
            <v>Elite Jeunes</v>
          </cell>
          <cell r="W9" t="str">
            <v>Frais Divers subventions accordées</v>
          </cell>
        </row>
        <row r="10">
          <cell r="T10" t="str">
            <v>formation et milieu scolaire et bénévoles de clubs</v>
          </cell>
          <cell r="W10" t="str">
            <v>frais financiers</v>
          </cell>
        </row>
        <row r="11">
          <cell r="T11" t="str">
            <v>golf au féminin</v>
          </cell>
          <cell r="W11" t="str">
            <v xml:space="preserve">Frais postaux </v>
          </cell>
        </row>
        <row r="12">
          <cell r="T12" t="str">
            <v>Golf entreprise</v>
          </cell>
          <cell r="W12" t="str">
            <v>Frt Entretien Ptt Equi</v>
          </cell>
        </row>
        <row r="13">
          <cell r="T13" t="str">
            <v>Inter clubs d'hiver</v>
          </cell>
          <cell r="W13" t="str">
            <v>Golf entreprise</v>
          </cell>
        </row>
        <row r="14">
          <cell r="T14" t="str">
            <v>Pro F'an</v>
          </cell>
          <cell r="W14" t="str">
            <v>Ind Pro pro f'an</v>
          </cell>
        </row>
        <row r="15">
          <cell r="T15" t="str">
            <v>Stages Jeunes</v>
          </cell>
          <cell r="W15" t="str">
            <v>Intérêts livret</v>
          </cell>
        </row>
        <row r="16">
          <cell r="T16" t="str">
            <v>Subventions Accordées</v>
          </cell>
          <cell r="W16" t="str">
            <v>Location</v>
          </cell>
        </row>
        <row r="17">
          <cell r="T17" t="str">
            <v xml:space="preserve">tous au golf et incitation à la pratique </v>
          </cell>
          <cell r="W17" t="str">
            <v>Location terrain</v>
          </cell>
        </row>
        <row r="18">
          <cell r="T18" t="str">
            <v>Trophée Junior CD49 Volvo</v>
          </cell>
          <cell r="W18" t="str">
            <v>Récept/Réunion</v>
          </cell>
        </row>
        <row r="19">
          <cell r="W19" t="str">
            <v>Sponsorts divers</v>
          </cell>
        </row>
        <row r="20">
          <cell r="W20" t="str">
            <v>Subvention CG 49</v>
          </cell>
        </row>
        <row r="21">
          <cell r="W21" t="str">
            <v>Subvention CNDS</v>
          </cell>
        </row>
        <row r="22">
          <cell r="W22" t="str">
            <v>Subvention département 49</v>
          </cell>
        </row>
        <row r="23">
          <cell r="W23" t="str">
            <v>Subvention Ligue</v>
          </cell>
        </row>
        <row r="24">
          <cell r="W24" t="str">
            <v>Subventions accordées</v>
          </cell>
        </row>
        <row r="25">
          <cell r="W25" t="str">
            <v>téléphone</v>
          </cell>
        </row>
        <row r="26">
          <cell r="W26" t="str">
            <v>Trophée et Lots</v>
          </cell>
        </row>
        <row r="27">
          <cell r="W27" t="str">
            <v>Vrt interne</v>
          </cell>
        </row>
      </sheetData>
      <sheetData sheetId="23"/>
      <sheetData sheetId="24">
        <row r="141">
          <cell r="H141">
            <v>-65</v>
          </cell>
        </row>
        <row r="142">
          <cell r="H142">
            <v>-57</v>
          </cell>
        </row>
        <row r="143">
          <cell r="H143">
            <v>-148.69</v>
          </cell>
        </row>
        <row r="147">
          <cell r="H147">
            <v>-89.81</v>
          </cell>
        </row>
        <row r="149">
          <cell r="H149">
            <v>-320.56</v>
          </cell>
        </row>
        <row r="150">
          <cell r="H150">
            <v>-348.68</v>
          </cell>
        </row>
        <row r="151">
          <cell r="H151">
            <v>-11.99</v>
          </cell>
        </row>
        <row r="153">
          <cell r="H153">
            <v>-28.97</v>
          </cell>
        </row>
        <row r="155">
          <cell r="H155">
            <v>-134.22999999999999</v>
          </cell>
        </row>
        <row r="654">
          <cell r="H654">
            <v>-1249.44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5"/>
  <sheetViews>
    <sheetView showGridLines="0" tabSelected="1" topLeftCell="A3" zoomScaleNormal="100" zoomScaleSheetLayoutView="100" workbookViewId="0">
      <selection activeCell="M94" sqref="M94"/>
    </sheetView>
  </sheetViews>
  <sheetFormatPr baseColWidth="10" defaultRowHeight="14.4" x14ac:dyDescent="0.3"/>
  <cols>
    <col min="1" max="1" width="15.21875" customWidth="1"/>
    <col min="2" max="3" width="14.5546875" customWidth="1"/>
    <col min="4" max="4" width="18.77734375" customWidth="1"/>
    <col min="5" max="5" width="19.21875" customWidth="1"/>
    <col min="6" max="6" width="15" customWidth="1"/>
    <col min="7" max="7" width="18.5546875" customWidth="1"/>
  </cols>
  <sheetData>
    <row r="1" spans="1:7" hidden="1" x14ac:dyDescent="0.3"/>
    <row r="2" spans="1:7" hidden="1" x14ac:dyDescent="0.3"/>
    <row r="3" spans="1:7" ht="23.4" x14ac:dyDescent="0.45">
      <c r="A3" s="165" t="str">
        <f>+"Bilan Financier"&amp;" " &amp;2019</f>
        <v>Bilan Financier 2019</v>
      </c>
      <c r="B3" s="165"/>
      <c r="C3" s="165"/>
      <c r="D3" s="165"/>
      <c r="E3" s="165"/>
      <c r="F3" s="165"/>
      <c r="G3" s="165"/>
    </row>
    <row r="4" spans="1:7" ht="18" x14ac:dyDescent="0.35">
      <c r="A4" s="166" t="s">
        <v>74</v>
      </c>
      <c r="B4" s="166"/>
      <c r="C4" s="166"/>
      <c r="D4" s="166"/>
      <c r="E4" s="166"/>
      <c r="F4" s="166"/>
      <c r="G4" s="166"/>
    </row>
    <row r="5" spans="1:7" hidden="1" x14ac:dyDescent="0.3"/>
    <row r="6" spans="1:7" hidden="1" x14ac:dyDescent="0.3"/>
    <row r="7" spans="1:7" ht="18" x14ac:dyDescent="0.35">
      <c r="A7" s="166" t="str">
        <f>+"Ressources "&amp;2019</f>
        <v>Ressources 2019</v>
      </c>
      <c r="B7" s="166"/>
      <c r="C7" s="166"/>
      <c r="D7" s="166"/>
      <c r="E7" s="166"/>
      <c r="F7" s="166"/>
      <c r="G7" s="166"/>
    </row>
    <row r="9" spans="1:7" ht="15" thickBot="1" x14ac:dyDescent="0.35">
      <c r="A9" s="134" t="s">
        <v>70</v>
      </c>
      <c r="B9" s="133"/>
      <c r="C9" s="118" t="s">
        <v>73</v>
      </c>
      <c r="D9" s="118" t="s">
        <v>72</v>
      </c>
      <c r="E9" s="132" t="str">
        <f>+"réalisé "&amp;2019</f>
        <v>réalisé 2019</v>
      </c>
      <c r="F9" s="131" t="s">
        <v>71</v>
      </c>
      <c r="G9" s="130" t="s">
        <v>56</v>
      </c>
    </row>
    <row r="10" spans="1:7" ht="16.8" thickTop="1" thickBot="1" x14ac:dyDescent="0.35">
      <c r="A10" s="191" t="s">
        <v>69</v>
      </c>
      <c r="B10" s="170"/>
      <c r="C10" s="129">
        <v>1702</v>
      </c>
      <c r="D10" s="124">
        <v>1700</v>
      </c>
      <c r="E10" s="109">
        <f>+[1]resultat!J3</f>
        <v>2074</v>
      </c>
      <c r="F10" s="114">
        <f t="shared" ref="F10:F15" si="0">+E10-C10</f>
        <v>372</v>
      </c>
      <c r="G10" s="69">
        <f>IF(E10=0,0,+E10/$E$33*1)</f>
        <v>9.8414921865954505E-2</v>
      </c>
    </row>
    <row r="11" spans="1:7" ht="16.2" thickBot="1" x14ac:dyDescent="0.35">
      <c r="A11" s="171" t="s">
        <v>68</v>
      </c>
      <c r="B11" s="172"/>
      <c r="C11" s="128">
        <v>2459</v>
      </c>
      <c r="D11" s="127">
        <v>2500</v>
      </c>
      <c r="E11" s="112">
        <f>+[1]resultat!J4</f>
        <v>7185</v>
      </c>
      <c r="F11" s="115">
        <f t="shared" si="0"/>
        <v>4726</v>
      </c>
      <c r="G11" s="66">
        <f>IF(E11=0,0,+E11/$E$33*1)</f>
        <v>0.34094079730322235</v>
      </c>
    </row>
    <row r="12" spans="1:7" ht="16.8" thickTop="1" thickBot="1" x14ac:dyDescent="0.35">
      <c r="A12" s="126" t="s">
        <v>67</v>
      </c>
      <c r="B12" s="16"/>
      <c r="C12" s="125">
        <v>3150</v>
      </c>
      <c r="D12" s="124">
        <v>2000</v>
      </c>
      <c r="E12" s="109">
        <f>+[1]resultat!J5</f>
        <v>4250</v>
      </c>
      <c r="F12" s="114">
        <f t="shared" si="0"/>
        <v>1100</v>
      </c>
      <c r="G12" s="69">
        <f>IF(E12=0,0,+E12/$E$33*1)</f>
        <v>0.20166992185646415</v>
      </c>
    </row>
    <row r="13" spans="1:7" ht="15.75" customHeight="1" thickBot="1" x14ac:dyDescent="0.35">
      <c r="A13" s="171" t="s">
        <v>48</v>
      </c>
      <c r="B13" s="172"/>
      <c r="C13" s="128">
        <v>2837</v>
      </c>
      <c r="D13" s="127">
        <v>3000</v>
      </c>
      <c r="E13" s="112">
        <f>+[1]resultat!J6</f>
        <v>3525</v>
      </c>
      <c r="F13" s="115">
        <f t="shared" si="0"/>
        <v>688</v>
      </c>
      <c r="G13" s="66">
        <f>IF(E13=0,0,+E13/$E$33*1)</f>
        <v>0.16726740577506732</v>
      </c>
    </row>
    <row r="14" spans="1:7" ht="10.95" customHeight="1" thickTop="1" thickBot="1" x14ac:dyDescent="0.35">
      <c r="A14" s="126"/>
      <c r="B14" s="16"/>
      <c r="C14" s="125"/>
      <c r="D14" s="124"/>
      <c r="E14" s="109"/>
      <c r="F14" s="114">
        <f t="shared" si="0"/>
        <v>0</v>
      </c>
      <c r="G14" s="69"/>
    </row>
    <row r="15" spans="1:7" ht="13.5" customHeight="1" x14ac:dyDescent="0.3">
      <c r="A15" s="192" t="s">
        <v>66</v>
      </c>
      <c r="B15" s="193"/>
      <c r="C15" s="123">
        <v>10148</v>
      </c>
      <c r="D15" s="123">
        <f>SUM(D10:D14)</f>
        <v>9200</v>
      </c>
      <c r="E15" s="122">
        <f>SUM(E10:E14)</f>
        <v>17034</v>
      </c>
      <c r="F15" s="103">
        <f t="shared" si="0"/>
        <v>6886</v>
      </c>
      <c r="G15" s="63">
        <f>IF(E15=0,0,+E15/$E$33*1)</f>
        <v>0.80829304680070835</v>
      </c>
    </row>
    <row r="16" spans="1:7" ht="11.25" hidden="1" customHeight="1" x14ac:dyDescent="0.3">
      <c r="D16" s="121"/>
      <c r="E16" s="121"/>
      <c r="F16" s="100"/>
      <c r="G16" s="74"/>
    </row>
    <row r="17" spans="1:7" hidden="1" x14ac:dyDescent="0.3">
      <c r="D17" s="121"/>
      <c r="E17" s="121"/>
      <c r="F17" s="100"/>
      <c r="G17" s="74"/>
    </row>
    <row r="18" spans="1:7" ht="15" thickBot="1" x14ac:dyDescent="0.35">
      <c r="A18" s="120" t="s">
        <v>65</v>
      </c>
      <c r="B18" s="119"/>
      <c r="C18" s="118" t="str">
        <f>+C9</f>
        <v>réalisé 2018</v>
      </c>
      <c r="D18" s="118" t="str">
        <f>+D9</f>
        <v>Prévisionnel 2019</v>
      </c>
      <c r="E18" s="116" t="str">
        <f>+$E$9</f>
        <v>réalisé 2019</v>
      </c>
      <c r="F18" s="117" t="str">
        <f>+F9</f>
        <v># 2019-2018</v>
      </c>
      <c r="G18" s="59"/>
    </row>
    <row r="19" spans="1:7" ht="21" customHeight="1" thickTop="1" thickBot="1" x14ac:dyDescent="0.35">
      <c r="A19" s="191" t="s">
        <v>64</v>
      </c>
      <c r="B19" s="170"/>
      <c r="C19" s="110">
        <v>2650</v>
      </c>
      <c r="D19" s="12">
        <v>2000</v>
      </c>
      <c r="E19" s="109">
        <f>+[1]resultat!J7</f>
        <v>3000</v>
      </c>
      <c r="F19" s="114">
        <f>+E19-C19</f>
        <v>350</v>
      </c>
      <c r="G19" s="69">
        <f t="shared" ref="G19:G27" si="1">IF(E19=0,0,+E19/$E$33*1)</f>
        <v>0.1423552389575041</v>
      </c>
    </row>
    <row r="20" spans="1:7" ht="21" customHeight="1" thickBot="1" x14ac:dyDescent="0.35">
      <c r="A20" s="171" t="s">
        <v>63</v>
      </c>
      <c r="B20" s="172"/>
      <c r="C20" s="113">
        <v>1500</v>
      </c>
      <c r="D20" s="8"/>
      <c r="E20" s="112">
        <f>+[1]resultat!J8</f>
        <v>1000</v>
      </c>
      <c r="F20" s="115">
        <f>+E20-C20</f>
        <v>-500</v>
      </c>
      <c r="G20" s="66">
        <f t="shared" si="1"/>
        <v>4.7451746319168035E-2</v>
      </c>
    </row>
    <row r="21" spans="1:7" ht="21" customHeight="1" thickTop="1" thickBot="1" x14ac:dyDescent="0.35">
      <c r="A21" s="191" t="s">
        <v>62</v>
      </c>
      <c r="B21" s="170"/>
      <c r="C21" s="110">
        <v>39.74</v>
      </c>
      <c r="D21" s="12">
        <v>40</v>
      </c>
      <c r="E21" s="109">
        <f>+[1]resultat!J10</f>
        <v>40.04</v>
      </c>
      <c r="F21" s="114">
        <f>+E21-C21</f>
        <v>0.29999999999999716</v>
      </c>
      <c r="G21" s="69">
        <f t="shared" si="1"/>
        <v>1.8999679226194882E-3</v>
      </c>
    </row>
    <row r="22" spans="1:7" ht="16.2" hidden="1" thickBot="1" x14ac:dyDescent="0.35">
      <c r="A22" s="171"/>
      <c r="B22" s="172"/>
      <c r="C22" s="113"/>
      <c r="D22" s="8"/>
      <c r="E22" s="112"/>
      <c r="F22" s="115"/>
      <c r="G22" s="66">
        <f t="shared" si="1"/>
        <v>0</v>
      </c>
    </row>
    <row r="23" spans="1:7" ht="16.8" hidden="1" thickTop="1" thickBot="1" x14ac:dyDescent="0.35">
      <c r="A23" s="191"/>
      <c r="B23" s="170"/>
      <c r="C23" s="110"/>
      <c r="D23" s="12"/>
      <c r="E23" s="109"/>
      <c r="F23" s="114"/>
      <c r="G23" s="69">
        <f t="shared" si="1"/>
        <v>0</v>
      </c>
    </row>
    <row r="24" spans="1:7" ht="15.6" customHeight="1" thickBot="1" x14ac:dyDescent="0.35">
      <c r="A24" s="171"/>
      <c r="B24" s="172"/>
      <c r="C24" s="113">
        <v>0</v>
      </c>
      <c r="D24" s="8"/>
      <c r="E24" s="112">
        <v>0</v>
      </c>
      <c r="F24" s="111"/>
      <c r="G24" s="66">
        <f t="shared" si="1"/>
        <v>0</v>
      </c>
    </row>
    <row r="25" spans="1:7" ht="9" customHeight="1" thickTop="1" thickBot="1" x14ac:dyDescent="0.35">
      <c r="A25" s="169"/>
      <c r="B25" s="170"/>
      <c r="C25" s="110">
        <v>0</v>
      </c>
      <c r="D25" s="12"/>
      <c r="E25" s="109"/>
      <c r="F25" s="108"/>
      <c r="G25" s="69">
        <f t="shared" si="1"/>
        <v>0</v>
      </c>
    </row>
    <row r="26" spans="1:7" ht="16.8" thickTop="1" thickBot="1" x14ac:dyDescent="0.35">
      <c r="A26" s="167" t="s">
        <v>0</v>
      </c>
      <c r="B26" s="168"/>
      <c r="C26" s="107">
        <f>SUM(C19:C25)</f>
        <v>4189.74</v>
      </c>
      <c r="D26" s="62">
        <f>SUM(D19:D25)</f>
        <v>2040</v>
      </c>
      <c r="E26" s="106">
        <f>SUM(E19:E25)</f>
        <v>4040.04</v>
      </c>
      <c r="F26" s="103">
        <f>+E26-C26</f>
        <v>-149.69999999999982</v>
      </c>
      <c r="G26" s="63">
        <f t="shared" si="1"/>
        <v>0.19170695319929162</v>
      </c>
    </row>
    <row r="27" spans="1:7" ht="16.2" thickTop="1" x14ac:dyDescent="0.3">
      <c r="A27" s="167" t="s">
        <v>61</v>
      </c>
      <c r="B27" s="168"/>
      <c r="C27" s="105">
        <f>+C26+C15</f>
        <v>14337.74</v>
      </c>
      <c r="D27" s="101">
        <f>+D26+D15</f>
        <v>11240</v>
      </c>
      <c r="E27" s="104">
        <f>+E26+E15</f>
        <v>21074.04</v>
      </c>
      <c r="F27" s="103">
        <f>+E27-C27</f>
        <v>6736.3000000000011</v>
      </c>
      <c r="G27" s="102">
        <f t="shared" si="1"/>
        <v>1</v>
      </c>
    </row>
    <row r="28" spans="1:7" hidden="1" x14ac:dyDescent="0.3">
      <c r="D28" s="56"/>
      <c r="E28" s="56"/>
      <c r="F28" s="100"/>
      <c r="G28" s="74"/>
    </row>
    <row r="29" spans="1:7" ht="15" hidden="1" thickBot="1" x14ac:dyDescent="0.35">
      <c r="A29" s="162" t="s">
        <v>60</v>
      </c>
      <c r="B29" s="148"/>
      <c r="C29" s="20" t="str">
        <f>+C9</f>
        <v>réalisé 2018</v>
      </c>
      <c r="D29" s="19" t="str">
        <f>+$D$9</f>
        <v>Prévisionnel 2019</v>
      </c>
      <c r="E29" s="19" t="str">
        <f>+E9</f>
        <v>réalisé 2019</v>
      </c>
      <c r="F29" s="98" t="str">
        <f>+F9</f>
        <v># 2019-2018</v>
      </c>
      <c r="G29" s="59"/>
    </row>
    <row r="30" spans="1:7" ht="15.6" hidden="1" thickTop="1" thickBot="1" x14ac:dyDescent="0.35">
      <c r="A30" s="189" t="s">
        <v>59</v>
      </c>
      <c r="B30" s="190"/>
      <c r="C30" s="99">
        <v>0</v>
      </c>
      <c r="D30" s="12"/>
      <c r="E30" s="12"/>
      <c r="F30" s="12"/>
      <c r="G30" s="69">
        <f>IF(E30=0,0,+E30/$E$33*1)</f>
        <v>0</v>
      </c>
    </row>
    <row r="31" spans="1:7" ht="15" hidden="1" thickBot="1" x14ac:dyDescent="0.35">
      <c r="A31" s="171"/>
      <c r="B31" s="172"/>
      <c r="C31" s="68"/>
      <c r="D31" s="8"/>
      <c r="E31" s="8"/>
      <c r="F31" s="8"/>
      <c r="G31" s="66">
        <f>IF(E31=0,0,+E31/$E$33*1)</f>
        <v>0</v>
      </c>
    </row>
    <row r="32" spans="1:7" ht="15" hidden="1" thickTop="1" x14ac:dyDescent="0.3">
      <c r="A32" s="167" t="s">
        <v>0</v>
      </c>
      <c r="B32" s="168"/>
      <c r="C32" s="65">
        <f>+C31+C30</f>
        <v>0</v>
      </c>
      <c r="D32" s="62">
        <f>SUM(D30:D31)</f>
        <v>0</v>
      </c>
      <c r="E32" s="62">
        <f>SUM(E30:E31)</f>
        <v>0</v>
      </c>
      <c r="F32" s="62"/>
      <c r="G32" s="63">
        <f>IF(E32=0,0,+E32/$E$33*1)</f>
        <v>0</v>
      </c>
    </row>
    <row r="33" spans="1:7" ht="15" thickBot="1" x14ac:dyDescent="0.35">
      <c r="A33" s="162" t="s">
        <v>58</v>
      </c>
      <c r="B33" s="148"/>
      <c r="C33" s="20">
        <f>+C32+C26+C15</f>
        <v>14337.74</v>
      </c>
      <c r="D33" s="19">
        <f>+D32+D26+D15</f>
        <v>11240</v>
      </c>
      <c r="E33" s="19">
        <f>+E32+E26+E15</f>
        <v>21074.04</v>
      </c>
      <c r="F33" s="19"/>
      <c r="G33" s="59">
        <f>IF(E33=0,0,+E33/$E$33*1)</f>
        <v>1</v>
      </c>
    </row>
    <row r="34" spans="1:7" ht="15" thickTop="1" x14ac:dyDescent="0.3"/>
    <row r="35" spans="1:7" ht="23.4" x14ac:dyDescent="0.45">
      <c r="A35" s="165" t="str">
        <f>+A3</f>
        <v>Bilan Financier 2019</v>
      </c>
      <c r="B35" s="165"/>
      <c r="C35" s="165"/>
      <c r="D35" s="165"/>
      <c r="E35" s="165"/>
      <c r="F35" s="165"/>
      <c r="G35" s="165"/>
    </row>
    <row r="36" spans="1:7" ht="18" x14ac:dyDescent="0.35">
      <c r="A36" s="166" t="str">
        <f>+A4</f>
        <v>Comité départemental  de Golf du Maine et Loire</v>
      </c>
      <c r="B36" s="166"/>
      <c r="C36" s="166"/>
      <c r="D36" s="166"/>
      <c r="E36" s="166"/>
      <c r="F36" s="166"/>
      <c r="G36" s="166"/>
    </row>
    <row r="38" spans="1:7" ht="18" x14ac:dyDescent="0.35">
      <c r="A38" s="166" t="str">
        <f>+"Emplois "&amp;2019</f>
        <v>Emplois 2019</v>
      </c>
      <c r="B38" s="166"/>
      <c r="C38" s="166"/>
      <c r="D38" s="166"/>
      <c r="E38" s="166"/>
      <c r="F38" s="166"/>
      <c r="G38" s="166"/>
    </row>
    <row r="40" spans="1:7" ht="15" thickBot="1" x14ac:dyDescent="0.35">
      <c r="A40" s="162" t="s">
        <v>57</v>
      </c>
      <c r="B40" s="148"/>
      <c r="C40" s="20" t="str">
        <f>+C9</f>
        <v>réalisé 2018</v>
      </c>
      <c r="D40" s="50" t="str">
        <f>+$D$9</f>
        <v>Prévisionnel 2019</v>
      </c>
      <c r="E40" s="19" t="str">
        <f>+$E$9</f>
        <v>réalisé 2019</v>
      </c>
      <c r="F40" s="98" t="str">
        <f>+F9</f>
        <v># 2019-2018</v>
      </c>
      <c r="G40" s="97" t="s">
        <v>56</v>
      </c>
    </row>
    <row r="41" spans="1:7" ht="20.25" customHeight="1" thickTop="1" thickBot="1" x14ac:dyDescent="0.35">
      <c r="A41" s="169" t="s">
        <v>55</v>
      </c>
      <c r="B41" s="170"/>
      <c r="C41" s="71">
        <v>48.61</v>
      </c>
      <c r="D41" s="12">
        <v>100</v>
      </c>
      <c r="E41" s="83">
        <f>-[1]resultat!C4</f>
        <v>5</v>
      </c>
      <c r="F41" s="82">
        <f>+E41-C41</f>
        <v>-43.61</v>
      </c>
      <c r="G41" s="69">
        <f>IF(E41=0,0,+E41/$E$33*1)</f>
        <v>2.3725873159584018E-4</v>
      </c>
    </row>
    <row r="42" spans="1:7" ht="20.25" customHeight="1" thickBot="1" x14ac:dyDescent="0.35">
      <c r="A42" s="171" t="s">
        <v>54</v>
      </c>
      <c r="B42" s="172"/>
      <c r="C42" s="84">
        <v>1090.55</v>
      </c>
      <c r="D42" s="8">
        <v>1100</v>
      </c>
      <c r="E42" s="80">
        <f>-[1]Analitique!H654</f>
        <v>1249.44</v>
      </c>
      <c r="F42" s="79">
        <f>+E42-C42</f>
        <v>158.8900000000001</v>
      </c>
      <c r="G42" s="66">
        <f>IF(E42=0,0,+E42/$E$33*1)</f>
        <v>5.9288109921021313E-2</v>
      </c>
    </row>
    <row r="43" spans="1:7" ht="20.25" customHeight="1" thickTop="1" thickBot="1" x14ac:dyDescent="0.35">
      <c r="A43" s="169" t="s">
        <v>53</v>
      </c>
      <c r="B43" s="170"/>
      <c r="C43" s="183">
        <v>1046.4000000000001</v>
      </c>
      <c r="D43" s="186">
        <v>2000</v>
      </c>
      <c r="E43" s="174">
        <f>-[1]resultat!C8-[1]resultat!C16</f>
        <v>1450.9</v>
      </c>
      <c r="F43" s="177">
        <f>+E43-C43</f>
        <v>404.5</v>
      </c>
      <c r="G43" s="180">
        <f>IF(E43=0,0,+E43/$E$33*1)</f>
        <v>6.8847738734480912E-2</v>
      </c>
    </row>
    <row r="44" spans="1:7" ht="20.25" customHeight="1" thickTop="1" thickBot="1" x14ac:dyDescent="0.35">
      <c r="A44" s="169" t="s">
        <v>52</v>
      </c>
      <c r="B44" s="170"/>
      <c r="C44" s="184"/>
      <c r="D44" s="187"/>
      <c r="E44" s="175"/>
      <c r="F44" s="178"/>
      <c r="G44" s="181"/>
    </row>
    <row r="45" spans="1:7" ht="20.25" customHeight="1" thickTop="1" thickBot="1" x14ac:dyDescent="0.35">
      <c r="A45" s="169" t="s">
        <v>51</v>
      </c>
      <c r="B45" s="170"/>
      <c r="C45" s="185"/>
      <c r="D45" s="188"/>
      <c r="E45" s="176"/>
      <c r="F45" s="179"/>
      <c r="G45" s="182"/>
    </row>
    <row r="46" spans="1:7" ht="20.25" customHeight="1" thickBot="1" x14ac:dyDescent="0.35">
      <c r="A46" s="171" t="s">
        <v>50</v>
      </c>
      <c r="B46" s="172"/>
      <c r="C46" s="84">
        <v>135</v>
      </c>
      <c r="D46" s="8"/>
      <c r="E46" s="80">
        <f>-[1]resultat!C11</f>
        <v>226.7</v>
      </c>
      <c r="F46" s="79">
        <f t="shared" ref="F46:F52" si="2">+E46-C46</f>
        <v>91.699999999999989</v>
      </c>
      <c r="G46" s="66">
        <f t="shared" ref="G46:G52" si="3">IF(E46=0,0,+E46/$E$33*1)</f>
        <v>1.0757310890555392E-2</v>
      </c>
    </row>
    <row r="47" spans="1:7" ht="3" hidden="1" customHeight="1" x14ac:dyDescent="0.3">
      <c r="A47" s="169" t="s">
        <v>49</v>
      </c>
      <c r="B47" s="170"/>
      <c r="C47" s="71">
        <v>0</v>
      </c>
      <c r="D47" s="12"/>
      <c r="E47" s="83"/>
      <c r="F47" s="82">
        <f t="shared" si="2"/>
        <v>0</v>
      </c>
      <c r="G47" s="69">
        <f t="shared" si="3"/>
        <v>0</v>
      </c>
    </row>
    <row r="48" spans="1:7" ht="20.25" customHeight="1" thickTop="1" thickBot="1" x14ac:dyDescent="0.35">
      <c r="A48" s="169" t="s">
        <v>48</v>
      </c>
      <c r="B48" s="170"/>
      <c r="C48" s="71">
        <v>2689.79</v>
      </c>
      <c r="D48" s="12">
        <v>3000</v>
      </c>
      <c r="E48" s="83">
        <f>-[1]resultat!C13</f>
        <v>4118.2</v>
      </c>
      <c r="F48" s="82">
        <f t="shared" si="2"/>
        <v>1428.4099999999999</v>
      </c>
      <c r="G48" s="69">
        <f t="shared" si="3"/>
        <v>0.19541578169159779</v>
      </c>
    </row>
    <row r="49" spans="1:7" ht="20.25" hidden="1" customHeight="1" x14ac:dyDescent="0.3">
      <c r="A49" s="169" t="s">
        <v>47</v>
      </c>
      <c r="B49" s="170"/>
      <c r="C49" s="71">
        <v>0</v>
      </c>
      <c r="D49" s="12"/>
      <c r="E49" s="83"/>
      <c r="F49" s="82">
        <f t="shared" si="2"/>
        <v>0</v>
      </c>
      <c r="G49" s="69">
        <f t="shared" si="3"/>
        <v>0</v>
      </c>
    </row>
    <row r="50" spans="1:7" ht="19.5" customHeight="1" thickBot="1" x14ac:dyDescent="0.35">
      <c r="A50" s="171" t="s">
        <v>46</v>
      </c>
      <c r="B50" s="172"/>
      <c r="C50" s="84">
        <v>30</v>
      </c>
      <c r="D50" s="8">
        <v>200</v>
      </c>
      <c r="E50" s="80">
        <f>-[1]resultat!C14-[1]resultat!C17</f>
        <v>0</v>
      </c>
      <c r="F50" s="79">
        <f t="shared" si="2"/>
        <v>-30</v>
      </c>
      <c r="G50" s="66">
        <f t="shared" si="3"/>
        <v>0</v>
      </c>
    </row>
    <row r="51" spans="1:7" ht="16.8" hidden="1" thickTop="1" thickBot="1" x14ac:dyDescent="0.35">
      <c r="A51" s="96"/>
      <c r="B51" s="95"/>
      <c r="C51" s="94">
        <v>0</v>
      </c>
      <c r="D51" s="93"/>
      <c r="E51" s="92"/>
      <c r="F51" s="91">
        <f t="shared" si="2"/>
        <v>0</v>
      </c>
      <c r="G51" s="90">
        <f t="shared" si="3"/>
        <v>0</v>
      </c>
    </row>
    <row r="52" spans="1:7" ht="14.25" customHeight="1" thickTop="1" x14ac:dyDescent="0.3">
      <c r="A52" s="167" t="s">
        <v>0</v>
      </c>
      <c r="B52" s="168"/>
      <c r="C52" s="65">
        <f>SUM(C41:C51)</f>
        <v>5040.3500000000004</v>
      </c>
      <c r="D52" s="62">
        <f>SUM(D41:D51)</f>
        <v>6400</v>
      </c>
      <c r="E52" s="77">
        <f>SUM(E41:E51)</f>
        <v>7050.24</v>
      </c>
      <c r="F52" s="76">
        <f t="shared" si="2"/>
        <v>2009.8899999999994</v>
      </c>
      <c r="G52" s="63">
        <f t="shared" si="3"/>
        <v>0.33454619996925122</v>
      </c>
    </row>
    <row r="53" spans="1:7" hidden="1" x14ac:dyDescent="0.3">
      <c r="D53" s="56"/>
      <c r="E53" s="56"/>
      <c r="F53" s="75"/>
      <c r="G53" s="74"/>
    </row>
    <row r="54" spans="1:7" hidden="1" x14ac:dyDescent="0.3">
      <c r="D54" s="56"/>
      <c r="E54" s="56"/>
      <c r="F54" s="75"/>
      <c r="G54" s="74"/>
    </row>
    <row r="55" spans="1:7" ht="15" thickBot="1" x14ac:dyDescent="0.35">
      <c r="A55" s="162" t="s">
        <v>45</v>
      </c>
      <c r="B55" s="148"/>
      <c r="C55" s="89" t="str">
        <f>+C9</f>
        <v>réalisé 2018</v>
      </c>
      <c r="D55" s="19" t="str">
        <f>+$D$9</f>
        <v>Prévisionnel 2019</v>
      </c>
      <c r="E55" s="19" t="str">
        <f>+$E$9</f>
        <v>réalisé 2019</v>
      </c>
      <c r="F55" s="73" t="str">
        <f>+F9</f>
        <v># 2019-2018</v>
      </c>
      <c r="G55" s="72" t="str">
        <f>+G40</f>
        <v>%  sur total recettes</v>
      </c>
    </row>
    <row r="56" spans="1:7" ht="16.8" thickTop="1" thickBot="1" x14ac:dyDescent="0.35">
      <c r="A56" s="169" t="s">
        <v>44</v>
      </c>
      <c r="B56" s="170"/>
      <c r="C56" s="71">
        <v>3492.5</v>
      </c>
      <c r="D56" s="12">
        <v>3600</v>
      </c>
      <c r="E56" s="83">
        <f>-[1]resultat!C9</f>
        <v>3665</v>
      </c>
      <c r="F56" s="82">
        <f t="shared" ref="F56:F62" si="4">+E56-C56</f>
        <v>172.5</v>
      </c>
      <c r="G56" s="69">
        <f t="shared" ref="G56:G62" si="5">IF(E56=0,0,+E56/$E$33*1)</f>
        <v>0.17391065025975086</v>
      </c>
    </row>
    <row r="57" spans="1:7" ht="16.2" thickBot="1" x14ac:dyDescent="0.35">
      <c r="A57" s="171" t="s">
        <v>43</v>
      </c>
      <c r="B57" s="172"/>
      <c r="C57" s="84">
        <v>0</v>
      </c>
      <c r="D57" s="8">
        <v>1500</v>
      </c>
      <c r="E57" s="80">
        <f>-[1]resultat!C18</f>
        <v>7951.96</v>
      </c>
      <c r="F57" s="79">
        <f t="shared" si="4"/>
        <v>7951.96</v>
      </c>
      <c r="G57" s="66">
        <f t="shared" si="5"/>
        <v>0.37733438866017144</v>
      </c>
    </row>
    <row r="58" spans="1:7" ht="16.8" hidden="1" thickTop="1" thickBot="1" x14ac:dyDescent="0.35">
      <c r="A58" s="169" t="s">
        <v>42</v>
      </c>
      <c r="B58" s="170"/>
      <c r="C58" s="71">
        <v>0</v>
      </c>
      <c r="D58" s="12" t="e">
        <f>+#REF!</f>
        <v>#REF!</v>
      </c>
      <c r="E58" s="87">
        <v>0</v>
      </c>
      <c r="F58" s="82">
        <f t="shared" si="4"/>
        <v>0</v>
      </c>
      <c r="G58" s="69">
        <f t="shared" si="5"/>
        <v>0</v>
      </c>
    </row>
    <row r="59" spans="1:7" ht="16.8" hidden="1" thickTop="1" thickBot="1" x14ac:dyDescent="0.35">
      <c r="A59" s="171"/>
      <c r="B59" s="172"/>
      <c r="C59" s="84"/>
      <c r="D59" s="8" t="e">
        <f>+#REF!</f>
        <v>#REF!</v>
      </c>
      <c r="E59" s="86"/>
      <c r="F59" s="79">
        <f t="shared" si="4"/>
        <v>0</v>
      </c>
      <c r="G59" s="66">
        <f t="shared" si="5"/>
        <v>0</v>
      </c>
    </row>
    <row r="60" spans="1:7" ht="16.8" hidden="1" thickTop="1" thickBot="1" x14ac:dyDescent="0.35">
      <c r="A60" s="169"/>
      <c r="B60" s="170"/>
      <c r="C60" s="88"/>
      <c r="D60" s="12"/>
      <c r="E60" s="87"/>
      <c r="F60" s="82">
        <f t="shared" si="4"/>
        <v>0</v>
      </c>
      <c r="G60" s="69">
        <f t="shared" si="5"/>
        <v>0</v>
      </c>
    </row>
    <row r="61" spans="1:7" ht="16.2" customHeight="1" thickTop="1" thickBot="1" x14ac:dyDescent="0.35">
      <c r="A61" s="171"/>
      <c r="B61" s="172"/>
      <c r="C61" s="81"/>
      <c r="D61" s="8"/>
      <c r="E61" s="86"/>
      <c r="F61" s="79">
        <f t="shared" si="4"/>
        <v>0</v>
      </c>
      <c r="G61" s="66">
        <f t="shared" si="5"/>
        <v>0</v>
      </c>
    </row>
    <row r="62" spans="1:7" ht="16.2" thickTop="1" x14ac:dyDescent="0.3">
      <c r="A62" s="167" t="s">
        <v>0</v>
      </c>
      <c r="B62" s="168"/>
      <c r="C62" s="78">
        <f>SUM(C56:C61)</f>
        <v>3492.5</v>
      </c>
      <c r="D62" s="62">
        <f>+D57+D56</f>
        <v>5100</v>
      </c>
      <c r="E62" s="77">
        <f>SUM(E56:E61)</f>
        <v>11616.96</v>
      </c>
      <c r="F62" s="76">
        <f t="shared" si="4"/>
        <v>8124.4599999999991</v>
      </c>
      <c r="G62" s="63">
        <f t="shared" si="5"/>
        <v>0.55124503891992227</v>
      </c>
    </row>
    <row r="63" spans="1:7" hidden="1" x14ac:dyDescent="0.3">
      <c r="D63" s="56"/>
      <c r="E63" s="56"/>
      <c r="F63" s="85"/>
      <c r="G63" s="74"/>
    </row>
    <row r="64" spans="1:7" hidden="1" x14ac:dyDescent="0.3">
      <c r="D64" s="56"/>
      <c r="E64" s="56"/>
      <c r="F64" s="75"/>
      <c r="G64" s="74"/>
    </row>
    <row r="65" spans="1:7" ht="15" hidden="1" thickBot="1" x14ac:dyDescent="0.35">
      <c r="A65" s="162" t="s">
        <v>41</v>
      </c>
      <c r="B65" s="148"/>
      <c r="C65" s="20" t="str">
        <f>+C9</f>
        <v>réalisé 2018</v>
      </c>
      <c r="D65" s="19" t="str">
        <f>+$D$9</f>
        <v>Prévisionnel 2019</v>
      </c>
      <c r="E65" s="19" t="str">
        <f>+$E$9</f>
        <v>réalisé 2019</v>
      </c>
      <c r="F65" s="73" t="str">
        <f>+F9</f>
        <v># 2019-2018</v>
      </c>
      <c r="G65" s="72" t="str">
        <f>+G55</f>
        <v>%  sur total recettes</v>
      </c>
    </row>
    <row r="66" spans="1:7" ht="15.6" hidden="1" thickTop="1" thickBot="1" x14ac:dyDescent="0.35">
      <c r="A66" s="169" t="s">
        <v>40</v>
      </c>
      <c r="B66" s="170"/>
      <c r="C66" s="71">
        <v>0</v>
      </c>
      <c r="D66" s="12" t="e">
        <f>+#REF!</f>
        <v>#REF!</v>
      </c>
      <c r="E66" s="12">
        <v>0</v>
      </c>
      <c r="F66" s="70"/>
      <c r="G66" s="69">
        <f>IF(E66=0,0,+E66/$E$33*1)</f>
        <v>0</v>
      </c>
    </row>
    <row r="67" spans="1:7" ht="15" hidden="1" thickBot="1" x14ac:dyDescent="0.35">
      <c r="A67" s="171"/>
      <c r="B67" s="172"/>
      <c r="C67" s="84">
        <v>0</v>
      </c>
      <c r="D67" s="8"/>
      <c r="E67" s="8">
        <v>0</v>
      </c>
      <c r="F67" s="67"/>
      <c r="G67" s="66">
        <f>IF(E67=0,0,+E67/$E$33*1)</f>
        <v>0</v>
      </c>
    </row>
    <row r="68" spans="1:7" ht="15" hidden="1" thickTop="1" x14ac:dyDescent="0.3">
      <c r="A68" s="167" t="s">
        <v>0</v>
      </c>
      <c r="B68" s="168"/>
      <c r="C68" s="65">
        <f>+C67+C66</f>
        <v>0</v>
      </c>
      <c r="D68" s="62" t="e">
        <f>SUM(D66:D67)</f>
        <v>#REF!</v>
      </c>
      <c r="E68" s="62">
        <f>SUM(E66:E67)</f>
        <v>0</v>
      </c>
      <c r="F68" s="64"/>
      <c r="G68" s="63">
        <f>IF(E68=0,0,+E68/$E$33*1)</f>
        <v>0</v>
      </c>
    </row>
    <row r="69" spans="1:7" hidden="1" x14ac:dyDescent="0.3">
      <c r="D69" s="56"/>
      <c r="E69" s="56"/>
      <c r="F69" s="75"/>
      <c r="G69" s="74"/>
    </row>
    <row r="70" spans="1:7" hidden="1" x14ac:dyDescent="0.3">
      <c r="D70" s="56"/>
      <c r="E70" s="56"/>
      <c r="F70" s="75"/>
      <c r="G70" s="74"/>
    </row>
    <row r="71" spans="1:7" ht="15" thickBot="1" x14ac:dyDescent="0.35">
      <c r="A71" s="162" t="s">
        <v>39</v>
      </c>
      <c r="B71" s="148"/>
      <c r="C71" s="20" t="str">
        <f>+C9</f>
        <v>réalisé 2018</v>
      </c>
      <c r="D71" s="19" t="str">
        <f>+$D$9</f>
        <v>Prévisionnel 2019</v>
      </c>
      <c r="E71" s="19" t="str">
        <f>+$E$9</f>
        <v>réalisé 2019</v>
      </c>
      <c r="F71" s="73" t="str">
        <f>+F9</f>
        <v># 2019-2018</v>
      </c>
      <c r="G71" s="72" t="str">
        <f>+G55</f>
        <v>%  sur total recettes</v>
      </c>
    </row>
    <row r="72" spans="1:7" ht="15.75" customHeight="1" thickTop="1" thickBot="1" x14ac:dyDescent="0.35">
      <c r="A72" s="169" t="s">
        <v>38</v>
      </c>
      <c r="B72" s="170"/>
      <c r="C72" s="71">
        <v>155.87</v>
      </c>
      <c r="D72" s="12">
        <v>150</v>
      </c>
      <c r="E72" s="83">
        <f>-[1]Analitique!H143-[1]Analitique!H142-[1]Analitique!H141-[1]Analitique!H151</f>
        <v>282.68</v>
      </c>
      <c r="F72" s="82">
        <f t="shared" ref="F72:F78" si="6">+E72-C72</f>
        <v>126.81</v>
      </c>
      <c r="G72" s="69">
        <f t="shared" ref="G72:G78" si="7">IF(E72=0,0,+E72/$E$33*1)</f>
        <v>1.341365964950242E-2</v>
      </c>
    </row>
    <row r="73" spans="1:7" ht="16.2" hidden="1" thickBot="1" x14ac:dyDescent="0.35">
      <c r="A73" s="171" t="s">
        <v>37</v>
      </c>
      <c r="B73" s="172"/>
      <c r="C73" s="84">
        <v>0</v>
      </c>
      <c r="D73" s="8"/>
      <c r="E73" s="80"/>
      <c r="F73" s="79">
        <f t="shared" si="6"/>
        <v>0</v>
      </c>
      <c r="G73" s="66">
        <f t="shared" si="7"/>
        <v>0</v>
      </c>
    </row>
    <row r="74" spans="1:7" ht="16.8" thickTop="1" thickBot="1" x14ac:dyDescent="0.35">
      <c r="A74" s="169" t="s">
        <v>36</v>
      </c>
      <c r="B74" s="170"/>
      <c r="C74" s="71">
        <v>853.4</v>
      </c>
      <c r="D74" s="12">
        <v>800</v>
      </c>
      <c r="E74" s="83">
        <f>-[1]Analitique!H149-[1]Analitique!H150</f>
        <v>669.24</v>
      </c>
      <c r="F74" s="82">
        <f t="shared" si="6"/>
        <v>-184.15999999999997</v>
      </c>
      <c r="G74" s="69">
        <f t="shared" si="7"/>
        <v>3.1756606706640017E-2</v>
      </c>
    </row>
    <row r="75" spans="1:7" ht="16.2" thickBot="1" x14ac:dyDescent="0.35">
      <c r="A75" s="171" t="s">
        <v>35</v>
      </c>
      <c r="B75" s="172"/>
      <c r="C75" s="84">
        <v>84.44</v>
      </c>
      <c r="D75" s="8">
        <v>100</v>
      </c>
      <c r="E75" s="80">
        <f>-[1]Analitique!H147</f>
        <v>89.81</v>
      </c>
      <c r="F75" s="79">
        <f t="shared" si="6"/>
        <v>5.3700000000000045</v>
      </c>
      <c r="G75" s="66">
        <f t="shared" si="7"/>
        <v>4.2616413369244814E-3</v>
      </c>
    </row>
    <row r="76" spans="1:7" ht="16.8" thickTop="1" thickBot="1" x14ac:dyDescent="0.35">
      <c r="A76" s="169" t="s">
        <v>34</v>
      </c>
      <c r="B76" s="170"/>
      <c r="C76" s="71">
        <v>148.5</v>
      </c>
      <c r="D76" s="12">
        <v>150</v>
      </c>
      <c r="E76" s="83">
        <f>-[1]Analitique!H155</f>
        <v>134.22999999999999</v>
      </c>
      <c r="F76" s="82">
        <f t="shared" si="6"/>
        <v>-14.27000000000001</v>
      </c>
      <c r="G76" s="69">
        <f t="shared" si="7"/>
        <v>6.3694479084219248E-3</v>
      </c>
    </row>
    <row r="77" spans="1:7" ht="16.2" thickBot="1" x14ac:dyDescent="0.35">
      <c r="A77" s="173" t="s">
        <v>33</v>
      </c>
      <c r="B77" s="172"/>
      <c r="C77" s="81">
        <v>19.579999999999998</v>
      </c>
      <c r="D77" s="8">
        <v>40</v>
      </c>
      <c r="E77" s="80">
        <f>-[1]Analitique!H153</f>
        <v>28.97</v>
      </c>
      <c r="F77" s="79">
        <f t="shared" si="6"/>
        <v>9.39</v>
      </c>
      <c r="G77" s="66">
        <f t="shared" si="7"/>
        <v>1.3746770908662979E-3</v>
      </c>
    </row>
    <row r="78" spans="1:7" ht="16.2" thickTop="1" x14ac:dyDescent="0.3">
      <c r="A78" s="167" t="s">
        <v>0</v>
      </c>
      <c r="B78" s="168"/>
      <c r="C78" s="78">
        <f>SUM(C72:C77)</f>
        <v>1261.79</v>
      </c>
      <c r="D78" s="62">
        <f>SUM(D72:D77)</f>
        <v>1240</v>
      </c>
      <c r="E78" s="77">
        <f>SUM(E72:E77)</f>
        <v>1204.93</v>
      </c>
      <c r="F78" s="76">
        <f t="shared" si="6"/>
        <v>-56.8599999999999</v>
      </c>
      <c r="G78" s="63">
        <f t="shared" si="7"/>
        <v>5.7176032692355147E-2</v>
      </c>
    </row>
    <row r="79" spans="1:7" hidden="1" x14ac:dyDescent="0.3">
      <c r="D79" s="56"/>
      <c r="E79" s="56"/>
      <c r="F79" s="75"/>
      <c r="G79" s="74"/>
    </row>
    <row r="80" spans="1:7" hidden="1" x14ac:dyDescent="0.3">
      <c r="D80" s="56"/>
      <c r="E80" s="56"/>
      <c r="F80" s="75"/>
      <c r="G80" s="74"/>
    </row>
    <row r="81" spans="1:7" ht="15" hidden="1" thickBot="1" x14ac:dyDescent="0.35">
      <c r="A81" s="162" t="s">
        <v>32</v>
      </c>
      <c r="B81" s="148"/>
      <c r="C81" s="20" t="str">
        <f>+C9</f>
        <v>réalisé 2018</v>
      </c>
      <c r="D81" s="19" t="str">
        <f>+$D$9</f>
        <v>Prévisionnel 2019</v>
      </c>
      <c r="E81" s="19" t="str">
        <f>+$E$9</f>
        <v>réalisé 2019</v>
      </c>
      <c r="F81" s="73" t="str">
        <f>+F9</f>
        <v># 2019-2018</v>
      </c>
      <c r="G81" s="72" t="str">
        <f>+G71</f>
        <v>%  sur total recettes</v>
      </c>
    </row>
    <row r="82" spans="1:7" ht="15.6" hidden="1" thickTop="1" thickBot="1" x14ac:dyDescent="0.35">
      <c r="A82" s="169" t="s">
        <v>31</v>
      </c>
      <c r="B82" s="170"/>
      <c r="C82" s="71"/>
      <c r="D82" s="12"/>
      <c r="E82" s="12">
        <v>0</v>
      </c>
      <c r="F82" s="70">
        <f>+E82-C82</f>
        <v>0</v>
      </c>
      <c r="G82" s="69">
        <f>IF(E82=0,0,+E82/$E$33*1)</f>
        <v>0</v>
      </c>
    </row>
    <row r="83" spans="1:7" ht="15" hidden="1" thickBot="1" x14ac:dyDescent="0.35">
      <c r="A83" s="171"/>
      <c r="B83" s="172"/>
      <c r="C83" s="68"/>
      <c r="D83" s="8"/>
      <c r="E83" s="8"/>
      <c r="F83" s="67">
        <f>+E83-C83</f>
        <v>0</v>
      </c>
      <c r="G83" s="66">
        <f>IF(E83=0,0,+E83/$E$33*1)</f>
        <v>0</v>
      </c>
    </row>
    <row r="84" spans="1:7" ht="15" hidden="1" thickTop="1" x14ac:dyDescent="0.3">
      <c r="A84" s="167" t="s">
        <v>0</v>
      </c>
      <c r="B84" s="168"/>
      <c r="C84" s="65"/>
      <c r="D84" s="62">
        <f>SUM(D82:D83)</f>
        <v>0</v>
      </c>
      <c r="E84" s="62">
        <f>SUM(E82:E83)</f>
        <v>0</v>
      </c>
      <c r="F84" s="64">
        <f>+E84-C84</f>
        <v>0</v>
      </c>
      <c r="G84" s="63">
        <f>IF(E84=0,0,+E84/$E$33*1)</f>
        <v>0</v>
      </c>
    </row>
    <row r="85" spans="1:7" ht="14.25" customHeight="1" thickBot="1" x14ac:dyDescent="0.35">
      <c r="A85" s="162" t="s">
        <v>30</v>
      </c>
      <c r="B85" s="148"/>
      <c r="C85" s="61">
        <f>+C84+C78+C68+C62+C52</f>
        <v>9794.64</v>
      </c>
      <c r="D85" s="19">
        <f>+D78+D62+D52</f>
        <v>12740</v>
      </c>
      <c r="E85" s="19">
        <f>+E84+E78+E68+E62+E52</f>
        <v>19872.129999999997</v>
      </c>
      <c r="F85" s="60">
        <f>+E85-C85</f>
        <v>10077.489999999998</v>
      </c>
      <c r="G85" s="59">
        <f>IF(E85=0,0,+E85/$E$33*1)</f>
        <v>0.9429672715815286</v>
      </c>
    </row>
    <row r="86" spans="1:7" ht="15" hidden="1" thickTop="1" x14ac:dyDescent="0.3">
      <c r="C86" s="58"/>
      <c r="D86" s="56"/>
      <c r="E86" s="56"/>
      <c r="F86" s="57">
        <f>+E86-C86</f>
        <v>0</v>
      </c>
      <c r="G86" s="56"/>
    </row>
    <row r="87" spans="1:7" ht="15.6" thickTop="1" thickBot="1" x14ac:dyDescent="0.35">
      <c r="A87" s="163" t="s">
        <v>29</v>
      </c>
      <c r="B87" s="164"/>
      <c r="C87" s="55">
        <f>+C33-C85</f>
        <v>4543.1000000000004</v>
      </c>
      <c r="D87" s="53"/>
      <c r="E87" s="53">
        <f>+E33-E85</f>
        <v>1201.9100000000035</v>
      </c>
      <c r="F87" s="54"/>
      <c r="G87" s="53"/>
    </row>
    <row r="88" spans="1:7" ht="14.25" customHeight="1" thickTop="1" x14ac:dyDescent="0.3"/>
    <row r="90" spans="1:7" ht="23.4" x14ac:dyDescent="0.45">
      <c r="A90" s="165" t="str">
        <f>+A3</f>
        <v>Bilan Financier 2019</v>
      </c>
      <c r="B90" s="165"/>
      <c r="C90" s="165"/>
      <c r="D90" s="165"/>
      <c r="E90" s="165"/>
      <c r="F90" s="165"/>
      <c r="G90" s="52"/>
    </row>
    <row r="91" spans="1:7" ht="18" x14ac:dyDescent="0.35">
      <c r="A91" s="166" t="str">
        <f>+A4</f>
        <v>Comité départemental  de Golf du Maine et Loire</v>
      </c>
      <c r="B91" s="166"/>
      <c r="C91" s="166"/>
      <c r="D91" s="166"/>
      <c r="E91" s="166"/>
      <c r="F91" s="166"/>
    </row>
    <row r="92" spans="1:7" ht="59.25" customHeight="1" thickBot="1" x14ac:dyDescent="0.35"/>
    <row r="93" spans="1:7" ht="18.600000000000001" thickTop="1" x14ac:dyDescent="0.35">
      <c r="A93" s="142" t="str">
        <f>+"Compte d'exploitation "&amp;2019</f>
        <v>Compte d'exploitation 2019</v>
      </c>
      <c r="B93" s="143"/>
      <c r="C93" s="143"/>
      <c r="D93" s="143"/>
      <c r="E93" s="143"/>
      <c r="F93" s="143"/>
      <c r="G93" s="51"/>
    </row>
    <row r="94" spans="1:7" ht="18" x14ac:dyDescent="0.35">
      <c r="A94" s="25"/>
      <c r="B94" s="24"/>
      <c r="C94" s="24"/>
      <c r="D94" s="24"/>
      <c r="E94" s="24"/>
      <c r="F94" s="24"/>
      <c r="G94" s="23"/>
    </row>
    <row r="95" spans="1:7" ht="15" thickBot="1" x14ac:dyDescent="0.35">
      <c r="A95" s="147" t="s">
        <v>28</v>
      </c>
      <c r="B95" s="157"/>
      <c r="C95" s="157"/>
      <c r="D95" s="50" t="str">
        <f>+C9</f>
        <v>réalisé 2018</v>
      </c>
      <c r="E95" s="50" t="str">
        <f>+D9</f>
        <v>Prévisionnel 2019</v>
      </c>
      <c r="F95" s="49" t="str">
        <f>+E9</f>
        <v>réalisé 2019</v>
      </c>
      <c r="G95" s="48"/>
    </row>
    <row r="96" spans="1:7" ht="19.2" thickTop="1" thickBot="1" x14ac:dyDescent="0.4">
      <c r="A96" s="158"/>
      <c r="B96" s="159"/>
      <c r="C96" s="47"/>
      <c r="D96" s="41"/>
      <c r="E96" s="41"/>
      <c r="F96" s="46"/>
      <c r="G96" s="45"/>
    </row>
    <row r="97" spans="1:7" ht="18.600000000000001" thickBot="1" x14ac:dyDescent="0.4">
      <c r="A97" s="160" t="s">
        <v>27</v>
      </c>
      <c r="B97" s="161"/>
      <c r="C97" s="44"/>
      <c r="D97" s="136">
        <v>14337.74</v>
      </c>
      <c r="E97" s="137">
        <f>+D33</f>
        <v>11240</v>
      </c>
      <c r="F97" s="135">
        <f>+E33</f>
        <v>21074.04</v>
      </c>
      <c r="G97" s="43">
        <f>+F97-D97</f>
        <v>6736.3000000000011</v>
      </c>
    </row>
    <row r="98" spans="1:7" ht="19.2" thickTop="1" thickBot="1" x14ac:dyDescent="0.4">
      <c r="A98" s="158"/>
      <c r="B98" s="159"/>
      <c r="C98" s="47"/>
      <c r="D98" s="138"/>
      <c r="E98" s="138"/>
      <c r="F98" s="139"/>
      <c r="G98" s="45"/>
    </row>
    <row r="99" spans="1:7" ht="18.600000000000001" thickBot="1" x14ac:dyDescent="0.4">
      <c r="A99" s="160" t="s">
        <v>21</v>
      </c>
      <c r="B99" s="161"/>
      <c r="C99" s="44"/>
      <c r="D99" s="136">
        <v>-9794.64</v>
      </c>
      <c r="E99" s="136">
        <f>-D85</f>
        <v>-12740</v>
      </c>
      <c r="F99" s="135">
        <f>-E85</f>
        <v>-19872.129999999997</v>
      </c>
      <c r="G99" s="43">
        <f>+D99-F99</f>
        <v>10077.489999999998</v>
      </c>
    </row>
    <row r="100" spans="1:7" ht="19.2" thickTop="1" thickBot="1" x14ac:dyDescent="0.4">
      <c r="A100" s="140"/>
      <c r="B100" s="141"/>
      <c r="C100" s="42"/>
      <c r="D100" s="41"/>
      <c r="E100" s="41"/>
      <c r="F100" s="40"/>
      <c r="G100" s="39"/>
    </row>
    <row r="101" spans="1:7" ht="18.600000000000001" thickBot="1" x14ac:dyDescent="0.4">
      <c r="A101" s="38" t="s">
        <v>26</v>
      </c>
      <c r="B101" s="37"/>
      <c r="C101" s="37"/>
      <c r="D101" s="36">
        <f>+D97+D99</f>
        <v>4543.1000000000004</v>
      </c>
      <c r="E101" s="36"/>
      <c r="F101" s="35">
        <f>+F97+F99</f>
        <v>1201.9100000000035</v>
      </c>
      <c r="G101" s="34">
        <f>+G97-G99</f>
        <v>-3341.1899999999969</v>
      </c>
    </row>
    <row r="102" spans="1:7" ht="72.75" customHeight="1" thickTop="1" thickBot="1" x14ac:dyDescent="0.35"/>
    <row r="103" spans="1:7" ht="18.600000000000001" thickTop="1" x14ac:dyDescent="0.35">
      <c r="A103" s="142" t="str">
        <f>+"Bilan trésorerie "&amp;2019</f>
        <v>Bilan trésorerie 2019</v>
      </c>
      <c r="B103" s="143"/>
      <c r="C103" s="143"/>
      <c r="D103" s="143"/>
      <c r="E103" s="143"/>
      <c r="F103" s="144"/>
    </row>
    <row r="104" spans="1:7" ht="18" x14ac:dyDescent="0.35">
      <c r="A104" s="25"/>
      <c r="B104" s="24"/>
      <c r="C104" s="24"/>
      <c r="D104" s="24"/>
      <c r="E104" s="24"/>
      <c r="F104" s="23"/>
    </row>
    <row r="105" spans="1:7" ht="15" thickBot="1" x14ac:dyDescent="0.35">
      <c r="A105" s="33"/>
      <c r="B105" s="32"/>
      <c r="C105" s="31" t="s">
        <v>25</v>
      </c>
      <c r="D105" s="19"/>
      <c r="E105" s="19"/>
      <c r="F105" s="18" t="s">
        <v>24</v>
      </c>
    </row>
    <row r="106" spans="1:7" ht="15.6" thickTop="1" thickBot="1" x14ac:dyDescent="0.35">
      <c r="A106" s="145" t="s">
        <v>23</v>
      </c>
      <c r="B106" s="146"/>
      <c r="C106" s="30">
        <v>0</v>
      </c>
      <c r="D106" s="29" t="s">
        <v>22</v>
      </c>
      <c r="E106" s="29" t="s">
        <v>21</v>
      </c>
      <c r="F106" s="28" t="s">
        <v>20</v>
      </c>
    </row>
    <row r="107" spans="1:7" ht="15" thickBot="1" x14ac:dyDescent="0.35">
      <c r="A107" s="149" t="s">
        <v>19</v>
      </c>
      <c r="B107" s="150"/>
      <c r="C107" s="9">
        <f>+[1]saisie!E1</f>
        <v>16983.23</v>
      </c>
      <c r="D107" s="27">
        <f>+[1]saisie!H2-[1]resultat!J10</f>
        <v>21034</v>
      </c>
      <c r="E107" s="8">
        <f>+[1]saisie!G2</f>
        <v>-19872.13</v>
      </c>
      <c r="F107" s="7">
        <f>+C107+D107+E107</f>
        <v>18145.099999999995</v>
      </c>
    </row>
    <row r="108" spans="1:7" ht="15.6" thickTop="1" thickBot="1" x14ac:dyDescent="0.35">
      <c r="A108" s="151" t="s">
        <v>18</v>
      </c>
      <c r="B108" s="152"/>
      <c r="C108" s="16">
        <f>+[1]saisie!J3</f>
        <v>5338.74</v>
      </c>
      <c r="D108" s="26">
        <f>+[1]resultat!J10</f>
        <v>40.04</v>
      </c>
      <c r="E108" s="12"/>
      <c r="F108" s="11">
        <f>+C108+D108+E108</f>
        <v>5378.78</v>
      </c>
    </row>
    <row r="109" spans="1:7" ht="15" thickBot="1" x14ac:dyDescent="0.35">
      <c r="A109" s="153" t="s">
        <v>17</v>
      </c>
      <c r="B109" s="154"/>
      <c r="C109" s="9">
        <v>0</v>
      </c>
      <c r="D109" s="8"/>
      <c r="E109" s="8"/>
      <c r="F109" s="7"/>
    </row>
    <row r="110" spans="1:7" ht="15.6" thickTop="1" thickBot="1" x14ac:dyDescent="0.35">
      <c r="A110" s="151"/>
      <c r="B110" s="152"/>
      <c r="C110" s="13"/>
      <c r="D110" s="12"/>
      <c r="E110" s="12"/>
      <c r="F110" s="11"/>
    </row>
    <row r="111" spans="1:7" ht="15" thickBot="1" x14ac:dyDescent="0.35">
      <c r="A111" s="153">
        <v>0</v>
      </c>
      <c r="B111" s="154"/>
      <c r="C111" s="9"/>
      <c r="D111" s="8"/>
      <c r="E111" s="8"/>
      <c r="F111" s="7"/>
    </row>
    <row r="112" spans="1:7" ht="15.6" thickTop="1" thickBot="1" x14ac:dyDescent="0.35">
      <c r="A112" s="155" t="s">
        <v>16</v>
      </c>
      <c r="B112" s="156"/>
      <c r="C112" s="4">
        <f>SUM(C106:C111)</f>
        <v>22321.97</v>
      </c>
      <c r="D112" s="3">
        <f>SUM(D106:D111)</f>
        <v>21074.04</v>
      </c>
      <c r="E112" s="3">
        <f>SUM(E106:E111)</f>
        <v>-19872.13</v>
      </c>
      <c r="F112" s="2">
        <f>+F108+F107</f>
        <v>23523.879999999994</v>
      </c>
      <c r="G112" s="1"/>
    </row>
    <row r="113" spans="1:7" ht="18.600000000000001" thickTop="1" x14ac:dyDescent="0.35">
      <c r="A113" s="25"/>
      <c r="B113" s="24"/>
      <c r="C113" s="24"/>
      <c r="D113" s="24"/>
      <c r="E113" s="24"/>
      <c r="F113" s="23"/>
    </row>
    <row r="114" spans="1:7" x14ac:dyDescent="0.3">
      <c r="A114" s="22"/>
      <c r="F114" s="21"/>
    </row>
    <row r="115" spans="1:7" ht="15" thickBot="1" x14ac:dyDescent="0.35">
      <c r="A115" s="147" t="s">
        <v>15</v>
      </c>
      <c r="B115" s="148"/>
      <c r="C115" s="20"/>
      <c r="D115" s="19" t="s">
        <v>14</v>
      </c>
      <c r="E115" s="19" t="s">
        <v>13</v>
      </c>
      <c r="F115" s="18"/>
    </row>
    <row r="116" spans="1:7" ht="15.6" thickTop="1" thickBot="1" x14ac:dyDescent="0.35">
      <c r="A116" s="14" t="s">
        <v>12</v>
      </c>
      <c r="B116" s="16"/>
      <c r="C116" s="16"/>
      <c r="D116" s="12"/>
      <c r="E116" s="12" t="s">
        <v>11</v>
      </c>
      <c r="F116" s="11">
        <v>22321.97</v>
      </c>
    </row>
    <row r="117" spans="1:7" ht="15" thickBot="1" x14ac:dyDescent="0.35">
      <c r="A117" s="10" t="s">
        <v>10</v>
      </c>
      <c r="B117" s="17"/>
      <c r="C117" s="17"/>
      <c r="D117" s="8"/>
      <c r="E117" s="8"/>
      <c r="F117" s="7"/>
    </row>
    <row r="118" spans="1:7" ht="15.6" thickTop="1" thickBot="1" x14ac:dyDescent="0.35">
      <c r="A118" s="14"/>
      <c r="B118" s="16"/>
      <c r="C118" s="16"/>
      <c r="D118" s="12"/>
      <c r="E118" s="12"/>
      <c r="F118" s="11"/>
    </row>
    <row r="119" spans="1:7" ht="15" thickBot="1" x14ac:dyDescent="0.35">
      <c r="A119" s="10" t="s">
        <v>9</v>
      </c>
      <c r="B119" s="9"/>
      <c r="C119" s="9"/>
      <c r="D119" s="8">
        <f>SUM(B121:C123)</f>
        <v>23523.879999999997</v>
      </c>
      <c r="E119" s="8" t="s">
        <v>8</v>
      </c>
      <c r="F119" s="7">
        <f>+E87</f>
        <v>1201.9100000000035</v>
      </c>
    </row>
    <row r="120" spans="1:7" ht="15.6" thickTop="1" thickBot="1" x14ac:dyDescent="0.35">
      <c r="A120" s="14"/>
      <c r="B120" s="16"/>
      <c r="C120" s="15" t="s">
        <v>7</v>
      </c>
      <c r="D120" s="12"/>
      <c r="E120" s="12" t="s">
        <v>6</v>
      </c>
      <c r="F120" s="11"/>
    </row>
    <row r="121" spans="1:7" ht="15" thickBot="1" x14ac:dyDescent="0.35">
      <c r="A121" s="10" t="s">
        <v>5</v>
      </c>
      <c r="B121" s="9">
        <f>+[1]saisie!E3-312.43</f>
        <v>18185.14</v>
      </c>
      <c r="C121" s="8">
        <v>0</v>
      </c>
      <c r="D121" s="8"/>
      <c r="E121" s="8" t="s">
        <v>4</v>
      </c>
      <c r="F121" s="7"/>
    </row>
    <row r="122" spans="1:7" ht="15.6" thickTop="1" thickBot="1" x14ac:dyDescent="0.35">
      <c r="A122" s="14" t="s">
        <v>3</v>
      </c>
      <c r="B122" s="13">
        <v>5338.74</v>
      </c>
      <c r="C122" s="13"/>
      <c r="D122" s="12"/>
      <c r="E122" s="12" t="s">
        <v>2</v>
      </c>
      <c r="F122" s="11"/>
    </row>
    <row r="123" spans="1:7" ht="15" thickBot="1" x14ac:dyDescent="0.35">
      <c r="A123" s="10" t="s">
        <v>1</v>
      </c>
      <c r="B123" s="9">
        <v>0</v>
      </c>
      <c r="C123" s="9"/>
      <c r="D123" s="8"/>
      <c r="E123" s="8"/>
      <c r="F123" s="7"/>
    </row>
    <row r="124" spans="1:7" ht="15.6" thickTop="1" thickBot="1" x14ac:dyDescent="0.35">
      <c r="A124" s="6" t="s">
        <v>0</v>
      </c>
      <c r="B124" s="5">
        <f>SUM(B116:B123)</f>
        <v>23523.879999999997</v>
      </c>
      <c r="C124" s="4"/>
      <c r="D124" s="3">
        <f>SUM(D116:D123)</f>
        <v>23523.879999999997</v>
      </c>
      <c r="E124" s="3"/>
      <c r="F124" s="2">
        <f>SUM(F116:F123)</f>
        <v>23523.880000000005</v>
      </c>
      <c r="G124" s="1"/>
    </row>
    <row r="125" spans="1:7" ht="15" thickTop="1" x14ac:dyDescent="0.3"/>
  </sheetData>
  <mergeCells count="85">
    <mergeCell ref="A3:G3"/>
    <mergeCell ref="A4:G4"/>
    <mergeCell ref="A7:G7"/>
    <mergeCell ref="A10:B10"/>
    <mergeCell ref="A11:B11"/>
    <mergeCell ref="A13:B13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6:G36"/>
    <mergeCell ref="A38:G38"/>
    <mergeCell ref="A40:B40"/>
    <mergeCell ref="A31:B31"/>
    <mergeCell ref="A32:B32"/>
    <mergeCell ref="A33:B33"/>
    <mergeCell ref="A35:G35"/>
    <mergeCell ref="A41:B41"/>
    <mergeCell ref="A42:B42"/>
    <mergeCell ref="A43:B43"/>
    <mergeCell ref="C43:C45"/>
    <mergeCell ref="D43:D45"/>
    <mergeCell ref="E43:E45"/>
    <mergeCell ref="F43:F45"/>
    <mergeCell ref="G43:G45"/>
    <mergeCell ref="A44:B44"/>
    <mergeCell ref="A45:B45"/>
    <mergeCell ref="A46:B46"/>
    <mergeCell ref="A47:B47"/>
    <mergeCell ref="A48:B48"/>
    <mergeCell ref="A49:B49"/>
    <mergeCell ref="A50:B50"/>
    <mergeCell ref="A52:B52"/>
    <mergeCell ref="A55:B55"/>
    <mergeCell ref="A56:B56"/>
    <mergeCell ref="A57:B57"/>
    <mergeCell ref="A58:B58"/>
    <mergeCell ref="A59:B59"/>
    <mergeCell ref="A60:B60"/>
    <mergeCell ref="A61:B61"/>
    <mergeCell ref="A62:B62"/>
    <mergeCell ref="A65:B65"/>
    <mergeCell ref="A66:B66"/>
    <mergeCell ref="A67:B67"/>
    <mergeCell ref="A68:B68"/>
    <mergeCell ref="A71:B71"/>
    <mergeCell ref="A72:B72"/>
    <mergeCell ref="A73:B73"/>
    <mergeCell ref="A74:B74"/>
    <mergeCell ref="A75:B75"/>
    <mergeCell ref="A76:B76"/>
    <mergeCell ref="A77:B77"/>
    <mergeCell ref="A78:B78"/>
    <mergeCell ref="A81:B81"/>
    <mergeCell ref="A82:B82"/>
    <mergeCell ref="A83:B83"/>
    <mergeCell ref="A84:B84"/>
    <mergeCell ref="A85:B85"/>
    <mergeCell ref="A87:B87"/>
    <mergeCell ref="A90:F90"/>
    <mergeCell ref="A91:F91"/>
    <mergeCell ref="A93:F93"/>
    <mergeCell ref="A95:C95"/>
    <mergeCell ref="A96:B96"/>
    <mergeCell ref="A97:B97"/>
    <mergeCell ref="A98:B98"/>
    <mergeCell ref="A99:B99"/>
    <mergeCell ref="A100:B100"/>
    <mergeCell ref="A103:F103"/>
    <mergeCell ref="A106:B106"/>
    <mergeCell ref="A115:B115"/>
    <mergeCell ref="A107:B107"/>
    <mergeCell ref="A108:B108"/>
    <mergeCell ref="A109:B109"/>
    <mergeCell ref="A110:B110"/>
    <mergeCell ref="A111:B111"/>
    <mergeCell ref="A112:B112"/>
  </mergeCells>
  <conditionalFormatting sqref="F10:F15">
    <cfRule type="iconSet" priority="8">
      <iconSet iconSet="3Arrows">
        <cfvo type="percent" val="0"/>
        <cfvo type="num" val="0"/>
        <cfvo type="num" val="0"/>
      </iconSet>
    </cfRule>
  </conditionalFormatting>
  <conditionalFormatting sqref="F19:F23">
    <cfRule type="iconSet" priority="9">
      <iconSet iconSet="3Arrows">
        <cfvo type="percent" val="0"/>
        <cfvo type="num" val="0"/>
        <cfvo type="num" val="0"/>
      </iconSet>
    </cfRule>
  </conditionalFormatting>
  <conditionalFormatting sqref="F26:F27">
    <cfRule type="iconSet" priority="10">
      <iconSet iconSet="3Arrows">
        <cfvo type="percent" val="0"/>
        <cfvo type="num" val="0"/>
        <cfvo type="num" val="0"/>
      </iconSet>
    </cfRule>
  </conditionalFormatting>
  <conditionalFormatting sqref="F41:F43 F49:F86 F46:F47">
    <cfRule type="iconSet" priority="11">
      <iconSet iconSet="3Arrows">
        <cfvo type="percent" val="0"/>
        <cfvo type="num" val="0"/>
        <cfvo type="num" val="0"/>
      </iconSet>
    </cfRule>
  </conditionalFormatting>
  <conditionalFormatting sqref="F48">
    <cfRule type="iconSet" priority="1">
      <iconSet iconSet="3Arrows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75" fitToHeight="0" orientation="portrait" r:id="rId1"/>
  <rowBreaks count="1" manualBreakCount="1"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(2)</vt:lpstr>
      <vt:lpstr>'bilan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LOCHARD</dc:creator>
  <cp:lastModifiedBy>rodol</cp:lastModifiedBy>
  <cp:lastPrinted>2020-01-27T20:42:51Z</cp:lastPrinted>
  <dcterms:created xsi:type="dcterms:W3CDTF">2020-01-20T15:41:14Z</dcterms:created>
  <dcterms:modified xsi:type="dcterms:W3CDTF">2020-02-12T19:03:35Z</dcterms:modified>
</cp:coreProperties>
</file>